
<file path=[Content_Types].xml><?xml version="1.0" encoding="utf-8"?>
<Types xmlns="http://schemas.openxmlformats.org/package/2006/content-types"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39.xml" ContentType="application/vnd.openxmlformats-officedocument.drawingml.chartshapes+xml"/>
  <Override PartName="/xl/drawings/drawing57.xml" ContentType="application/vnd.openxmlformats-officedocument.drawingml.chartshapes+xml"/>
  <Override PartName="/xl/worksheets/sheet7.xml" ContentType="application/vnd.openxmlformats-officedocument.spreadsheetml.worksheet+xml"/>
  <Override PartName="/xl/drawings/drawing17.xml" ContentType="application/vnd.openxmlformats-officedocument.drawingml.chartshapes+xml"/>
  <Override PartName="/xl/drawings/drawing28.xml" ContentType="application/vnd.openxmlformats-officedocument.drawingml.chartshapes+xml"/>
  <Override PartName="/xl/drawings/drawing46.xml" ContentType="application/vnd.openxmlformats-officedocument.drawingml.chartshapes+xml"/>
  <Default Extension="xml" ContentType="application/xml"/>
  <Override PartName="/xl/drawings/drawing2.xml" ContentType="application/vnd.openxmlformats-officedocument.drawingml.chartshapes+xml"/>
  <Override PartName="/xl/drawings/drawing35.xml" ContentType="application/vnd.openxmlformats-officedocument.drawingml.chartshapes+xml"/>
  <Override PartName="/xl/drawings/drawing53.xml" ContentType="application/vnd.openxmlformats-officedocument.drawingml.chartshapes+xml"/>
  <Override PartName="/xl/charts/chart49.xml" ContentType="application/vnd.openxmlformats-officedocument.drawingml.chart+xml"/>
  <Override PartName="/xl/worksheets/sheet3.xml" ContentType="application/vnd.openxmlformats-officedocument.spreadsheetml.worksheet+xml"/>
  <Override PartName="/xl/drawings/drawing13.xml" ContentType="application/vnd.openxmlformats-officedocument.drawingml.chartshapes+xml"/>
  <Override PartName="/xl/drawings/drawing24.xml" ContentType="application/vnd.openxmlformats-officedocument.drawingml.chartshapes+xml"/>
  <Override PartName="/xl/charts/chart27.xml" ContentType="application/vnd.openxmlformats-officedocument.drawingml.chart+xml"/>
  <Override PartName="/xl/charts/chart38.xml" ContentType="application/vnd.openxmlformats-officedocument.drawingml.chart+xml"/>
  <Override PartName="/xl/drawings/drawing42.xml" ContentType="application/vnd.openxmlformats-officedocument.drawingml.chartshapes+xml"/>
  <Override PartName="/xl/drawings/drawing60.xml" ContentType="application/vnd.openxmlformats-officedocument.drawingml.chartshapes+xml"/>
  <Override PartName="/xl/charts/chart16.xml" ContentType="application/vnd.openxmlformats-officedocument.drawingml.chart+xml"/>
  <Override PartName="/xl/drawings/drawing20.xml" ContentType="application/vnd.openxmlformats-officedocument.drawingml.chartshapes+xml"/>
  <Override PartName="/xl/drawings/drawing31.xml" ContentType="application/vnd.openxmlformats-officedocument.drawingml.chartshapes+xml"/>
  <Override PartName="/xl/charts/chart34.xml" ContentType="application/vnd.openxmlformats-officedocument.drawingml.chart+xml"/>
  <Override PartName="/xl/charts/chart45.xml" ContentType="application/vnd.openxmlformats-officedocument.drawingml.chart+xml"/>
  <Override PartName="/xl/sharedStrings.xml" ContentType="application/vnd.openxmlformats-officedocument.spreadsheetml.sharedStrings+xml"/>
  <Override PartName="/xl/charts/chart23.xml" ContentType="application/vnd.openxmlformats-officedocument.drawingml.chart+xml"/>
  <Override PartName="/xl/charts/chart52.xml" ContentType="application/vnd.openxmlformats-officedocument.drawingml.chart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30.xml" ContentType="application/vnd.openxmlformats-officedocument.drawingml.chart+xml"/>
  <Override PartName="/xl/charts/chart41.xml" ContentType="application/vnd.openxmlformats-officedocument.drawingml.chart+xml"/>
  <Override PartName="/xl/charts/chart50.xml" ContentType="application/vnd.openxmlformats-officedocument.drawingml.chart+xml"/>
  <Default Extension="bin" ContentType="application/vnd.openxmlformats-officedocument.spreadsheetml.printerSettings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29.xml" ContentType="application/vnd.openxmlformats-officedocument.drawingml.chartshapes+xml"/>
  <Override PartName="/xl/drawings/drawing38.xml" ContentType="application/vnd.openxmlformats-officedocument.drawing+xml"/>
  <Override PartName="/xl/drawings/drawing49.xml" ContentType="application/vnd.openxmlformats-officedocument.drawingml.chartshapes+xml"/>
  <Override PartName="/xl/drawings/drawing58.xml" ContentType="application/vnd.openxmlformats-officedocument.drawingml.chartshapes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8.xml" ContentType="application/vnd.openxmlformats-officedocument.drawingml.chartshapes+xml"/>
  <Override PartName="/xl/drawings/drawing27.xml" ContentType="application/vnd.openxmlformats-officedocument.drawing+xml"/>
  <Override PartName="/xl/drawings/drawing36.xml" ContentType="application/vnd.openxmlformats-officedocument.drawingml.chartshapes+xml"/>
  <Override PartName="/xl/drawings/drawing45.xml" ContentType="application/vnd.openxmlformats-officedocument.drawingml.chartshapes+xml"/>
  <Override PartName="/xl/drawings/drawing47.xml" ContentType="application/vnd.openxmlformats-officedocument.drawing+xml"/>
  <Override PartName="/xl/drawings/drawing56.xml" ContentType="application/vnd.openxmlformats-officedocument.drawingml.chartshapes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16.xml" ContentType="application/vnd.openxmlformats-officedocument.drawing+xml"/>
  <Override PartName="/xl/drawings/drawing25.xml" ContentType="application/vnd.openxmlformats-officedocument.drawingml.chartshapes+xml"/>
  <Override PartName="/xl/drawings/drawing34.xml" ContentType="application/vnd.openxmlformats-officedocument.drawingml.chartshapes+xml"/>
  <Override PartName="/xl/charts/chart39.xml" ContentType="application/vnd.openxmlformats-officedocument.drawingml.chart+xml"/>
  <Override PartName="/xl/drawings/drawing43.xml" ContentType="application/vnd.openxmlformats-officedocument.drawingml.chartshapes+xml"/>
  <Override PartName="/xl/charts/chart48.xml" ContentType="application/vnd.openxmlformats-officedocument.drawingml.chart+xml"/>
  <Override PartName="/xl/drawings/drawing54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14.xml" ContentType="application/vnd.openxmlformats-officedocument.drawingml.chartshapes+xml"/>
  <Override PartName="/xl/charts/chart19.xml" ContentType="application/vnd.openxmlformats-officedocument.drawingml.chart+xml"/>
  <Override PartName="/xl/drawings/drawing23.xml" ContentType="application/vnd.openxmlformats-officedocument.drawingml.chartshapes+xml"/>
  <Override PartName="/xl/charts/chart28.xml" ContentType="application/vnd.openxmlformats-officedocument.drawingml.chart+xml"/>
  <Override PartName="/xl/drawings/drawing32.xml" ContentType="application/vnd.openxmlformats-officedocument.drawingml.chartshapes+xml"/>
  <Override PartName="/xl/charts/chart37.xml" ContentType="application/vnd.openxmlformats-officedocument.drawingml.chart+xml"/>
  <Override PartName="/xl/drawings/drawing41.xml" ContentType="application/vnd.openxmlformats-officedocument.drawingml.chartshapes+xml"/>
  <Override PartName="/xl/charts/chart46.xml" ContentType="application/vnd.openxmlformats-officedocument.drawingml.chart+xml"/>
  <Override PartName="/xl/drawings/drawing52.xml" ContentType="application/vnd.openxmlformats-officedocument.drawingml.chartshapes+xml"/>
  <Override PartName="/xl/charts/chart55.xml" ContentType="application/vnd.openxmlformats-officedocument.drawingml.chart+xml"/>
  <Override PartName="/xl/drawings/drawing12.xml" ContentType="application/vnd.openxmlformats-officedocument.drawingml.chartshapes+xml"/>
  <Override PartName="/xl/charts/chart17.xml" ContentType="application/vnd.openxmlformats-officedocument.drawingml.chart+xml"/>
  <Override PartName="/xl/drawings/drawing21.xml" ContentType="application/vnd.openxmlformats-officedocument.drawingml.chartshapes+xml"/>
  <Override PartName="/xl/charts/chart26.xml" ContentType="application/vnd.openxmlformats-officedocument.drawingml.chart+xml"/>
  <Override PartName="/xl/drawings/drawing30.xml" ContentType="application/vnd.openxmlformats-officedocument.drawingml.chartshapes+xml"/>
  <Override PartName="/xl/charts/chart35.xml" ContentType="application/vnd.openxmlformats-officedocument.drawingml.chart+xml"/>
  <Override PartName="/xl/charts/chart44.xml" ContentType="application/vnd.openxmlformats-officedocument.drawingml.chart+xml"/>
  <Override PartName="/xl/drawings/drawing50.xml" ContentType="application/vnd.openxmlformats-officedocument.drawingml.chartshapes+xml"/>
  <Override PartName="/xl/charts/chart53.xml" ContentType="application/vnd.openxmlformats-officedocument.drawingml.chart+xml"/>
  <Override PartName="/xl/calcChain.xml" ContentType="application/vnd.openxmlformats-officedocument.spreadsheetml.calcChain+xml"/>
  <Override PartName="/xl/drawings/drawing10.xml" ContentType="application/vnd.openxmlformats-officedocument.drawingml.chartshapes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/chart24.xml" ContentType="application/vnd.openxmlformats-officedocument.drawingml.chart+xml"/>
  <Override PartName="/xl/charts/chart33.xml" ContentType="application/vnd.openxmlformats-officedocument.drawingml.chart+xml"/>
  <Override PartName="/xl/charts/chart42.xml" ContentType="application/vnd.openxmlformats-officedocument.drawingml.chart+xml"/>
  <Override PartName="/xl/charts/chart51.xml" ContentType="application/vnd.openxmlformats-officedocument.drawingml.chart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xl/charts/chart31.xml" ContentType="application/vnd.openxmlformats-officedocument.drawingml.chart+xml"/>
  <Override PartName="/xl/charts/chart40.xml" ContentType="application/vnd.openxmlformats-officedocument.drawingml.chart+xml"/>
  <Override PartName="/docProps/core.xml" ContentType="application/vnd.openxmlformats-package.core-properties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drawings/drawing5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drawings/drawing8.xml" ContentType="application/vnd.openxmlformats-officedocument.drawingml.chartshapes+xml"/>
  <Override PartName="/xl/drawings/drawing19.xml" ContentType="application/vnd.openxmlformats-officedocument.drawingml.chartshapes+xml"/>
  <Override PartName="/xl/drawings/drawing48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37.xml" ContentType="application/vnd.openxmlformats-officedocument.drawingml.chartshapes+xml"/>
  <Override PartName="/xl/drawings/drawing55.xml" ContentType="application/vnd.openxmlformats-officedocument.drawingml.chartshapes+xml"/>
  <Default Extension="rels" ContentType="application/vnd.openxmlformats-package.relationships+xml"/>
  <Override PartName="/xl/worksheets/sheet5.xml" ContentType="application/vnd.openxmlformats-officedocument.spreadsheetml.worksheet+xml"/>
  <Override PartName="/xl/drawings/drawing15.xml" ContentType="application/vnd.openxmlformats-officedocument.drawingml.chartshapes+xml"/>
  <Override PartName="/xl/drawings/drawing26.xml" ContentType="application/vnd.openxmlformats-officedocument.drawingml.chartshapes+xml"/>
  <Override PartName="/xl/charts/chart29.xml" ContentType="application/vnd.openxmlformats-officedocument.drawingml.chart+xml"/>
  <Override PartName="/xl/drawings/drawing44.xml" ContentType="application/vnd.openxmlformats-officedocument.drawingml.chartshapes+xml"/>
  <Override PartName="/xl/charts/chart18.xml" ContentType="application/vnd.openxmlformats-officedocument.drawingml.chart+xml"/>
  <Override PartName="/xl/drawings/drawing22.xml" ContentType="application/vnd.openxmlformats-officedocument.drawingml.chartshapes+xml"/>
  <Override PartName="/xl/drawings/drawing33.xml" ContentType="application/vnd.openxmlformats-officedocument.drawingml.chartshapes+xml"/>
  <Override PartName="/xl/charts/chart36.xml" ContentType="application/vnd.openxmlformats-officedocument.drawingml.chart+xml"/>
  <Override PartName="/xl/drawings/drawing51.xml" ContentType="application/vnd.openxmlformats-officedocument.drawingml.chartshapes+xml"/>
  <Override PartName="/xl/charts/chart47.xml" ContentType="application/vnd.openxmlformats-officedocument.drawingml.chart+xml"/>
  <Override PartName="/xl/worksheets/sheet1.xml" ContentType="application/vnd.openxmlformats-officedocument.spreadsheetml.worksheet+xml"/>
  <Override PartName="/xl/drawings/drawing11.xml" ContentType="application/vnd.openxmlformats-officedocument.drawingml.chartshapes+xml"/>
  <Override PartName="/xl/charts/chart25.xml" ContentType="application/vnd.openxmlformats-officedocument.drawingml.chart+xml"/>
  <Override PartName="/xl/drawings/drawing40.xml" ContentType="application/vnd.openxmlformats-officedocument.drawing+xml"/>
  <Override PartName="/xl/charts/chart54.xml" ContentType="application/vnd.openxmlformats-officedocument.drawingml.chart+xml"/>
  <Override PartName="/xl/charts/chart14.xml" ContentType="application/vnd.openxmlformats-officedocument.drawingml.chart+xml"/>
  <Override PartName="/xl/charts/chart32.xml" ContentType="application/vnd.openxmlformats-officedocument.drawingml.chart+xml"/>
  <Override PartName="/xl/charts/chart43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30" windowWidth="11340" windowHeight="7305" tabRatio="667" activeTab="6"/>
  </bookViews>
  <sheets>
    <sheet name="SL" sheetId="1" r:id="rId1"/>
    <sheet name="h=10000" sheetId="2" r:id="rId2"/>
    <sheet name="h=20000" sheetId="4" r:id="rId3"/>
    <sheet name="h=25000" sheetId="5" r:id="rId4"/>
    <sheet name="h=30000" sheetId="6" r:id="rId5"/>
    <sheet name="h=35000" sheetId="7" r:id="rId6"/>
    <sheet name="h=40000" sheetId="8" r:id="rId7"/>
    <sheet name="h=45000" sheetId="3" r:id="rId8"/>
    <sheet name="GRAFICO" sheetId="9" r:id="rId9"/>
  </sheets>
  <calcPr calcId="124519"/>
</workbook>
</file>

<file path=xl/calcChain.xml><?xml version="1.0" encoding="utf-8"?>
<calcChain xmlns="http://schemas.openxmlformats.org/spreadsheetml/2006/main">
  <c r="O33" i="7"/>
  <c r="N35" i="1"/>
  <c r="A2" i="2"/>
  <c r="M32"/>
  <c r="A33"/>
  <c r="B33"/>
  <c r="D33"/>
  <c r="E33"/>
  <c r="J33"/>
  <c r="K33"/>
  <c r="L33"/>
  <c r="D39"/>
  <c r="M33"/>
  <c r="O33"/>
  <c r="O35" s="1"/>
  <c r="P33"/>
  <c r="Q33"/>
  <c r="R33"/>
  <c r="S33"/>
  <c r="F35"/>
  <c r="B46"/>
  <c r="B47"/>
  <c r="B48"/>
  <c r="B49"/>
  <c r="B50"/>
  <c r="B51"/>
  <c r="A2" i="4"/>
  <c r="M32"/>
  <c r="A33"/>
  <c r="B33"/>
  <c r="D33"/>
  <c r="E33"/>
  <c r="J33"/>
  <c r="K33"/>
  <c r="L33"/>
  <c r="M33"/>
  <c r="O33"/>
  <c r="P33"/>
  <c r="Q33"/>
  <c r="R33"/>
  <c r="S33"/>
  <c r="F35"/>
  <c r="G35"/>
  <c r="H35"/>
  <c r="O35"/>
  <c r="Q35" s="1"/>
  <c r="R35" s="1"/>
  <c r="K47" s="1"/>
  <c r="G37"/>
  <c r="H37"/>
  <c r="J37"/>
  <c r="D39"/>
  <c r="B46"/>
  <c r="B47"/>
  <c r="B48"/>
  <c r="B49"/>
  <c r="M32" i="5"/>
  <c r="A33"/>
  <c r="B33"/>
  <c r="D33"/>
  <c r="E33"/>
  <c r="J33"/>
  <c r="K33"/>
  <c r="L33"/>
  <c r="D39" s="1"/>
  <c r="M33"/>
  <c r="O33"/>
  <c r="P33"/>
  <c r="Q33"/>
  <c r="R33"/>
  <c r="S33"/>
  <c r="A35"/>
  <c r="D41" s="1"/>
  <c r="D35"/>
  <c r="E35" s="1"/>
  <c r="F35"/>
  <c r="G35"/>
  <c r="H35"/>
  <c r="G37"/>
  <c r="H37"/>
  <c r="J37"/>
  <c r="B39"/>
  <c r="B46"/>
  <c r="B47"/>
  <c r="B48"/>
  <c r="B49"/>
  <c r="B50"/>
  <c r="B51"/>
  <c r="B52"/>
  <c r="B53"/>
  <c r="B54"/>
  <c r="B55"/>
  <c r="B56"/>
  <c r="B57"/>
  <c r="K53"/>
  <c r="P53" s="1"/>
  <c r="B58"/>
  <c r="B59"/>
  <c r="B60"/>
  <c r="B61"/>
  <c r="B62"/>
  <c r="B63"/>
  <c r="A2" i="6"/>
  <c r="M32"/>
  <c r="A33"/>
  <c r="B33"/>
  <c r="D33"/>
  <c r="D35" s="1"/>
  <c r="E35" s="1"/>
  <c r="E33"/>
  <c r="J33"/>
  <c r="K33"/>
  <c r="L33"/>
  <c r="D39" s="1"/>
  <c r="M33"/>
  <c r="O33"/>
  <c r="P33"/>
  <c r="O35"/>
  <c r="Q33"/>
  <c r="R33"/>
  <c r="S33"/>
  <c r="A35"/>
  <c r="J35" s="1"/>
  <c r="F35"/>
  <c r="G35"/>
  <c r="H35"/>
  <c r="G37"/>
  <c r="H37"/>
  <c r="J37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A2" i="7"/>
  <c r="M32"/>
  <c r="A33"/>
  <c r="B33"/>
  <c r="D33"/>
  <c r="D35" s="1"/>
  <c r="E35" s="1"/>
  <c r="E33"/>
  <c r="J33"/>
  <c r="K33"/>
  <c r="L33"/>
  <c r="D39" s="1"/>
  <c r="M33"/>
  <c r="P33"/>
  <c r="Q33"/>
  <c r="R33"/>
  <c r="S33"/>
  <c r="F35"/>
  <c r="G35"/>
  <c r="H35"/>
  <c r="G37"/>
  <c r="H37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A2" i="8"/>
  <c r="M32"/>
  <c r="A33"/>
  <c r="B33"/>
  <c r="D33"/>
  <c r="D35" s="1"/>
  <c r="E35" s="1"/>
  <c r="E33"/>
  <c r="J33"/>
  <c r="K33"/>
  <c r="L33"/>
  <c r="M33"/>
  <c r="O33"/>
  <c r="O35" s="1"/>
  <c r="P33"/>
  <c r="Q33"/>
  <c r="R33"/>
  <c r="S33"/>
  <c r="F35"/>
  <c r="D39"/>
  <c r="B46"/>
  <c r="B47"/>
  <c r="B48"/>
  <c r="B49"/>
  <c r="A2" i="3"/>
  <c r="M32"/>
  <c r="A33"/>
  <c r="B33"/>
  <c r="D33"/>
  <c r="E33"/>
  <c r="J33"/>
  <c r="K33"/>
  <c r="L33"/>
  <c r="M33"/>
  <c r="O33"/>
  <c r="P33"/>
  <c r="Q33"/>
  <c r="R33"/>
  <c r="S33"/>
  <c r="F35"/>
  <c r="D39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A35" i="1"/>
  <c r="B39" s="1"/>
  <c r="D35"/>
  <c r="E35" s="1"/>
  <c r="F35"/>
  <c r="G35"/>
  <c r="H35"/>
  <c r="G37"/>
  <c r="H37"/>
  <c r="O35"/>
  <c r="Q35" s="1"/>
  <c r="R35" s="1"/>
  <c r="J37"/>
  <c r="K53"/>
  <c r="P53" s="1"/>
  <c r="D39"/>
  <c r="D41"/>
  <c r="B46"/>
  <c r="B47"/>
  <c r="K53" i="6"/>
  <c r="P53" s="1"/>
  <c r="J35" i="5"/>
  <c r="D35" i="4"/>
  <c r="E35" s="1"/>
  <c r="O35" i="3"/>
  <c r="Q35" s="1"/>
  <c r="R35" s="1"/>
  <c r="T35" s="1"/>
  <c r="K53" i="4"/>
  <c r="K54"/>
  <c r="A35"/>
  <c r="A35" i="8"/>
  <c r="K54" i="1"/>
  <c r="B48"/>
  <c r="D35" i="3"/>
  <c r="E35" s="1"/>
  <c r="A35"/>
  <c r="G35"/>
  <c r="H35"/>
  <c r="G37"/>
  <c r="H37"/>
  <c r="J37"/>
  <c r="K53"/>
  <c r="P53" s="1"/>
  <c r="B50" i="8"/>
  <c r="J37"/>
  <c r="K53"/>
  <c r="P53" s="1"/>
  <c r="G35"/>
  <c r="H35"/>
  <c r="G37"/>
  <c r="H37"/>
  <c r="D40" i="1"/>
  <c r="D42"/>
  <c r="L37"/>
  <c r="K54" i="5"/>
  <c r="B50" i="4"/>
  <c r="J37" i="7"/>
  <c r="K53"/>
  <c r="P53" s="1"/>
  <c r="A35"/>
  <c r="Q35" i="6"/>
  <c r="R35" s="1"/>
  <c r="T35" s="1"/>
  <c r="P53" i="4"/>
  <c r="B39" i="6"/>
  <c r="E61" i="5"/>
  <c r="K55"/>
  <c r="E48"/>
  <c r="E45"/>
  <c r="C45"/>
  <c r="E50"/>
  <c r="E58"/>
  <c r="B52" i="2"/>
  <c r="B53"/>
  <c r="G35"/>
  <c r="H35"/>
  <c r="G37"/>
  <c r="H37"/>
  <c r="J37"/>
  <c r="K53"/>
  <c r="P53" s="1"/>
  <c r="D35"/>
  <c r="E35" s="1"/>
  <c r="D41" i="8"/>
  <c r="B39"/>
  <c r="J35"/>
  <c r="E49" i="5"/>
  <c r="C52"/>
  <c r="C54"/>
  <c r="C56"/>
  <c r="C60"/>
  <c r="E62"/>
  <c r="E59"/>
  <c r="E47"/>
  <c r="C51"/>
  <c r="E53"/>
  <c r="C55"/>
  <c r="C57"/>
  <c r="C59"/>
  <c r="C47"/>
  <c r="E52"/>
  <c r="E54"/>
  <c r="E56"/>
  <c r="C58"/>
  <c r="E60"/>
  <c r="C49"/>
  <c r="E51"/>
  <c r="E55"/>
  <c r="E57"/>
  <c r="C61"/>
  <c r="K56"/>
  <c r="C46"/>
  <c r="C48"/>
  <c r="K54" i="6"/>
  <c r="K55" s="1"/>
  <c r="B39" i="4"/>
  <c r="D41"/>
  <c r="J35"/>
  <c r="C63" i="5"/>
  <c r="E46"/>
  <c r="C53"/>
  <c r="C50"/>
  <c r="C62"/>
  <c r="E63"/>
  <c r="B54" i="2"/>
  <c r="K55" i="4"/>
  <c r="K56" s="1"/>
  <c r="K57" s="1"/>
  <c r="P57" s="1"/>
  <c r="K54" i="3"/>
  <c r="B49" i="1"/>
  <c r="K54" i="2"/>
  <c r="K54" i="8"/>
  <c r="K55" i="1"/>
  <c r="D41" i="7"/>
  <c r="J35"/>
  <c r="B39"/>
  <c r="B51" i="4"/>
  <c r="C50"/>
  <c r="E50" i="8"/>
  <c r="B51"/>
  <c r="J35" i="3"/>
  <c r="B39"/>
  <c r="D41"/>
  <c r="K57" i="5"/>
  <c r="P57" s="1"/>
  <c r="K54" i="7"/>
  <c r="D42" i="8"/>
  <c r="I42" s="1"/>
  <c r="D40"/>
  <c r="D40" i="4"/>
  <c r="D42"/>
  <c r="I42" s="1"/>
  <c r="L42" s="1"/>
  <c r="O42" s="1"/>
  <c r="E50"/>
  <c r="E46"/>
  <c r="E47"/>
  <c r="C47"/>
  <c r="I41"/>
  <c r="L41" s="1"/>
  <c r="O41" s="1"/>
  <c r="C45"/>
  <c r="E49"/>
  <c r="I39"/>
  <c r="L39" s="1"/>
  <c r="O39" s="1"/>
  <c r="C49"/>
  <c r="C46"/>
  <c r="E48"/>
  <c r="E45"/>
  <c r="C48"/>
  <c r="E48" i="8"/>
  <c r="E46"/>
  <c r="I39"/>
  <c r="L39" s="1"/>
  <c r="O39" s="1"/>
  <c r="C49"/>
  <c r="E49"/>
  <c r="C48"/>
  <c r="C46"/>
  <c r="C47"/>
  <c r="C45"/>
  <c r="E45"/>
  <c r="I41"/>
  <c r="L41" s="1"/>
  <c r="O41" s="1"/>
  <c r="E47"/>
  <c r="C50"/>
  <c r="I40" i="4"/>
  <c r="L40" s="1"/>
  <c r="O40" s="1"/>
  <c r="I40" i="8"/>
  <c r="L40" s="1"/>
  <c r="O40" s="1"/>
  <c r="K55" i="3"/>
  <c r="K56" s="1"/>
  <c r="K57" s="1"/>
  <c r="P57" s="1"/>
  <c r="B52" i="8"/>
  <c r="E51"/>
  <c r="C51"/>
  <c r="D40" i="7"/>
  <c r="D42"/>
  <c r="I42" s="1"/>
  <c r="L42" s="1"/>
  <c r="O42" s="1"/>
  <c r="K55" i="2"/>
  <c r="B50" i="1"/>
  <c r="D40" i="3"/>
  <c r="D42"/>
  <c r="E51" i="4"/>
  <c r="B52"/>
  <c r="C51"/>
  <c r="E46" i="3"/>
  <c r="E50"/>
  <c r="E58"/>
  <c r="C63"/>
  <c r="C45"/>
  <c r="E48"/>
  <c r="E52"/>
  <c r="E57"/>
  <c r="E61"/>
  <c r="C47"/>
  <c r="C52"/>
  <c r="C56"/>
  <c r="C61"/>
  <c r="C53"/>
  <c r="I40"/>
  <c r="C48"/>
  <c r="E62"/>
  <c r="E47"/>
  <c r="E51"/>
  <c r="E56"/>
  <c r="E60"/>
  <c r="I41"/>
  <c r="L41" s="1"/>
  <c r="O41" s="1"/>
  <c r="C51"/>
  <c r="C55"/>
  <c r="C60"/>
  <c r="E45"/>
  <c r="E49"/>
  <c r="C57"/>
  <c r="C46"/>
  <c r="C50"/>
  <c r="E55"/>
  <c r="E59"/>
  <c r="I39"/>
  <c r="L39" s="1"/>
  <c r="O39" s="1"/>
  <c r="C49"/>
  <c r="C54"/>
  <c r="C59"/>
  <c r="E63"/>
  <c r="E54"/>
  <c r="C58"/>
  <c r="E53"/>
  <c r="C62"/>
  <c r="I41" i="7"/>
  <c r="L41" s="1"/>
  <c r="O41" s="1"/>
  <c r="C47"/>
  <c r="C48"/>
  <c r="C49"/>
  <c r="C51"/>
  <c r="C52"/>
  <c r="E53"/>
  <c r="C54"/>
  <c r="C55"/>
  <c r="C56"/>
  <c r="C57"/>
  <c r="C59"/>
  <c r="C60"/>
  <c r="C61"/>
  <c r="E62"/>
  <c r="I40"/>
  <c r="L40" s="1"/>
  <c r="O40" s="1"/>
  <c r="C45"/>
  <c r="E46"/>
  <c r="E50"/>
  <c r="E58"/>
  <c r="C63"/>
  <c r="C46"/>
  <c r="C50"/>
  <c r="E54"/>
  <c r="C58"/>
  <c r="E49"/>
  <c r="E57"/>
  <c r="E61"/>
  <c r="E48"/>
  <c r="E52"/>
  <c r="E56"/>
  <c r="E60"/>
  <c r="E55"/>
  <c r="E51"/>
  <c r="E47"/>
  <c r="E59"/>
  <c r="C62"/>
  <c r="C53"/>
  <c r="E63"/>
  <c r="E45"/>
  <c r="K55" i="8"/>
  <c r="K56" s="1"/>
  <c r="K57" s="1"/>
  <c r="P57" s="1"/>
  <c r="K55" i="7"/>
  <c r="K56" s="1"/>
  <c r="K57" s="1"/>
  <c r="P57" s="1"/>
  <c r="B55" i="2"/>
  <c r="B51" i="1"/>
  <c r="B53" i="8"/>
  <c r="E52"/>
  <c r="C52"/>
  <c r="B53" i="4"/>
  <c r="C52"/>
  <c r="E52"/>
  <c r="I42" i="3"/>
  <c r="L42" s="1"/>
  <c r="O42" s="1"/>
  <c r="B56" i="2"/>
  <c r="L40" i="3"/>
  <c r="O40" s="1"/>
  <c r="B54" i="4"/>
  <c r="C53"/>
  <c r="E53"/>
  <c r="C53" i="8"/>
  <c r="B54"/>
  <c r="E53"/>
  <c r="B52" i="1"/>
  <c r="B57" i="2"/>
  <c r="E54" i="8"/>
  <c r="B55"/>
  <c r="C54"/>
  <c r="B58" i="2"/>
  <c r="B55" i="4"/>
  <c r="E54"/>
  <c r="C54"/>
  <c r="B53" i="1"/>
  <c r="E55" i="4"/>
  <c r="B56"/>
  <c r="C55"/>
  <c r="B59" i="2"/>
  <c r="B56" i="8"/>
  <c r="E55"/>
  <c r="C55"/>
  <c r="B54" i="1"/>
  <c r="B57" i="8"/>
  <c r="E56"/>
  <c r="C56"/>
  <c r="B55" i="1"/>
  <c r="B60" i="2"/>
  <c r="B57" i="4"/>
  <c r="E56"/>
  <c r="C56"/>
  <c r="B58"/>
  <c r="E57"/>
  <c r="C57"/>
  <c r="B56" i="1"/>
  <c r="B61" i="2"/>
  <c r="B58" i="8"/>
  <c r="E57"/>
  <c r="C57"/>
  <c r="E58"/>
  <c r="C58"/>
  <c r="B59"/>
  <c r="B59" i="4"/>
  <c r="C58"/>
  <c r="E58"/>
  <c r="B62" i="2"/>
  <c r="B57" i="1"/>
  <c r="B60" i="8"/>
  <c r="C59"/>
  <c r="E59"/>
  <c r="E59" i="4"/>
  <c r="B60"/>
  <c r="C59"/>
  <c r="B58" i="1"/>
  <c r="B63" i="2"/>
  <c r="B61" i="8"/>
  <c r="E60"/>
  <c r="C60"/>
  <c r="B59" i="1"/>
  <c r="B61" i="4"/>
  <c r="C60"/>
  <c r="E60"/>
  <c r="B62"/>
  <c r="E61"/>
  <c r="C61"/>
  <c r="E61" i="8"/>
  <c r="B62"/>
  <c r="C61"/>
  <c r="B60" i="1"/>
  <c r="B61"/>
  <c r="B63" i="8"/>
  <c r="C62"/>
  <c r="E62"/>
  <c r="C62" i="4"/>
  <c r="B63"/>
  <c r="E62"/>
  <c r="B62" i="1"/>
  <c r="C63" i="4"/>
  <c r="E63"/>
  <c r="C63" i="8"/>
  <c r="E63"/>
  <c r="B63" i="1"/>
  <c r="N3" i="9" l="1"/>
  <c r="N4"/>
  <c r="K47" i="1"/>
  <c r="T35" i="4"/>
  <c r="O35" i="5"/>
  <c r="Q35" s="1"/>
  <c r="R35" s="1"/>
  <c r="T35" s="1"/>
  <c r="I39" i="7"/>
  <c r="L39" s="1"/>
  <c r="O39" s="1"/>
  <c r="I39" i="5"/>
  <c r="L39" s="1"/>
  <c r="O39" s="1"/>
  <c r="Q35" i="2"/>
  <c r="R35" s="1"/>
  <c r="Q35" i="8"/>
  <c r="R35" s="1"/>
  <c r="T35" s="1"/>
  <c r="O35" i="7"/>
  <c r="Q35" s="1"/>
  <c r="R35" s="1"/>
  <c r="T35" s="1"/>
  <c r="M4" i="6"/>
  <c r="N4" s="1"/>
  <c r="M6"/>
  <c r="N6" s="1"/>
  <c r="M8"/>
  <c r="N8" s="1"/>
  <c r="M10"/>
  <c r="N10" s="1"/>
  <c r="M12"/>
  <c r="N12" s="1"/>
  <c r="M14"/>
  <c r="N14" s="1"/>
  <c r="M16"/>
  <c r="N16" s="1"/>
  <c r="M18"/>
  <c r="N18" s="1"/>
  <c r="M20"/>
  <c r="N20" s="1"/>
  <c r="M22"/>
  <c r="N22" s="1"/>
  <c r="M24"/>
  <c r="N24" s="1"/>
  <c r="M26"/>
  <c r="N26" s="1"/>
  <c r="M28"/>
  <c r="N28" s="1"/>
  <c r="M30"/>
  <c r="N30" s="1"/>
  <c r="M3"/>
  <c r="N3" s="1"/>
  <c r="M5"/>
  <c r="N5" s="1"/>
  <c r="M7"/>
  <c r="N7" s="1"/>
  <c r="M9"/>
  <c r="N9" s="1"/>
  <c r="M11"/>
  <c r="N11" s="1"/>
  <c r="M13"/>
  <c r="N13" s="1"/>
  <c r="M15"/>
  <c r="N15" s="1"/>
  <c r="M17"/>
  <c r="N17" s="1"/>
  <c r="M19"/>
  <c r="N19" s="1"/>
  <c r="M21"/>
  <c r="N21" s="1"/>
  <c r="M23"/>
  <c r="N23" s="1"/>
  <c r="M25"/>
  <c r="N25" s="1"/>
  <c r="M27"/>
  <c r="N27" s="1"/>
  <c r="M29"/>
  <c r="N29" s="1"/>
  <c r="M2"/>
  <c r="N2" s="1"/>
  <c r="K47"/>
  <c r="K48" s="1"/>
  <c r="M3" i="5"/>
  <c r="N3" s="1"/>
  <c r="M5"/>
  <c r="N5" s="1"/>
  <c r="M7"/>
  <c r="N7" s="1"/>
  <c r="M9"/>
  <c r="N9" s="1"/>
  <c r="M11"/>
  <c r="N11" s="1"/>
  <c r="M13"/>
  <c r="N13" s="1"/>
  <c r="M15"/>
  <c r="N15" s="1"/>
  <c r="M17"/>
  <c r="N17" s="1"/>
  <c r="M19"/>
  <c r="N19" s="1"/>
  <c r="M21"/>
  <c r="N21" s="1"/>
  <c r="M23"/>
  <c r="N23" s="1"/>
  <c r="M25"/>
  <c r="N25" s="1"/>
  <c r="M27"/>
  <c r="N27" s="1"/>
  <c r="M29"/>
  <c r="N29" s="1"/>
  <c r="M2"/>
  <c r="N2" s="1"/>
  <c r="M4"/>
  <c r="N4" s="1"/>
  <c r="M6"/>
  <c r="N6" s="1"/>
  <c r="M8"/>
  <c r="N8" s="1"/>
  <c r="M10"/>
  <c r="N10" s="1"/>
  <c r="M12"/>
  <c r="N12" s="1"/>
  <c r="M14"/>
  <c r="N14" s="1"/>
  <c r="M16"/>
  <c r="N16" s="1"/>
  <c r="M18"/>
  <c r="N18" s="1"/>
  <c r="M20"/>
  <c r="N20" s="1"/>
  <c r="M22"/>
  <c r="N22" s="1"/>
  <c r="M24"/>
  <c r="N24" s="1"/>
  <c r="M26"/>
  <c r="N26" s="1"/>
  <c r="M28"/>
  <c r="N28" s="1"/>
  <c r="M30"/>
  <c r="N30" s="1"/>
  <c r="K47"/>
  <c r="K48" s="1"/>
  <c r="M3" i="3"/>
  <c r="N3" s="1"/>
  <c r="M5"/>
  <c r="N5" s="1"/>
  <c r="M7"/>
  <c r="N7" s="1"/>
  <c r="M9"/>
  <c r="N9" s="1"/>
  <c r="M11"/>
  <c r="N11" s="1"/>
  <c r="M13"/>
  <c r="N13" s="1"/>
  <c r="M15"/>
  <c r="N15" s="1"/>
  <c r="M17"/>
  <c r="N17" s="1"/>
  <c r="M19"/>
  <c r="N19" s="1"/>
  <c r="M21"/>
  <c r="N21" s="1"/>
  <c r="M23"/>
  <c r="N23" s="1"/>
  <c r="M25"/>
  <c r="N25" s="1"/>
  <c r="M27"/>
  <c r="N27" s="1"/>
  <c r="M29"/>
  <c r="N29" s="1"/>
  <c r="M2"/>
  <c r="N2" s="1"/>
  <c r="M4"/>
  <c r="N4" s="1"/>
  <c r="M6"/>
  <c r="N6" s="1"/>
  <c r="M8"/>
  <c r="N8" s="1"/>
  <c r="M10"/>
  <c r="N10" s="1"/>
  <c r="M12"/>
  <c r="N12" s="1"/>
  <c r="M14"/>
  <c r="N14" s="1"/>
  <c r="M16"/>
  <c r="N16" s="1"/>
  <c r="M18"/>
  <c r="N18" s="1"/>
  <c r="M20"/>
  <c r="N20" s="1"/>
  <c r="M22"/>
  <c r="N22" s="1"/>
  <c r="M24"/>
  <c r="N24" s="1"/>
  <c r="M26"/>
  <c r="N26" s="1"/>
  <c r="M28"/>
  <c r="N28" s="1"/>
  <c r="M30"/>
  <c r="N30" s="1"/>
  <c r="K47"/>
  <c r="K48" s="1"/>
  <c r="M4" i="8"/>
  <c r="N4" s="1"/>
  <c r="M6"/>
  <c r="N6" s="1"/>
  <c r="M8"/>
  <c r="N8" s="1"/>
  <c r="M10"/>
  <c r="N10" s="1"/>
  <c r="M12"/>
  <c r="N12" s="1"/>
  <c r="M14"/>
  <c r="N14" s="1"/>
  <c r="M16"/>
  <c r="N16" s="1"/>
  <c r="M18"/>
  <c r="N18" s="1"/>
  <c r="M20"/>
  <c r="N20" s="1"/>
  <c r="M22"/>
  <c r="N22" s="1"/>
  <c r="M24"/>
  <c r="N24" s="1"/>
  <c r="M26"/>
  <c r="N26" s="1"/>
  <c r="M28"/>
  <c r="N28" s="1"/>
  <c r="M30"/>
  <c r="N30" s="1"/>
  <c r="M3"/>
  <c r="N3" s="1"/>
  <c r="M5"/>
  <c r="N5" s="1"/>
  <c r="M7"/>
  <c r="N7" s="1"/>
  <c r="M9"/>
  <c r="N9" s="1"/>
  <c r="M11"/>
  <c r="N11" s="1"/>
  <c r="M13"/>
  <c r="N13" s="1"/>
  <c r="M15"/>
  <c r="N15" s="1"/>
  <c r="M17"/>
  <c r="N17" s="1"/>
  <c r="M19"/>
  <c r="N19" s="1"/>
  <c r="M21"/>
  <c r="N21" s="1"/>
  <c r="M23"/>
  <c r="N23" s="1"/>
  <c r="M25"/>
  <c r="N25" s="1"/>
  <c r="M27"/>
  <c r="N27" s="1"/>
  <c r="M29"/>
  <c r="N29" s="1"/>
  <c r="M2"/>
  <c r="N2" s="1"/>
  <c r="K47"/>
  <c r="K48" s="1"/>
  <c r="M3" i="7"/>
  <c r="N3" s="1"/>
  <c r="M5"/>
  <c r="N5" s="1"/>
  <c r="M7"/>
  <c r="N7" s="1"/>
  <c r="M9"/>
  <c r="N9" s="1"/>
  <c r="M11"/>
  <c r="N11" s="1"/>
  <c r="M13"/>
  <c r="N13" s="1"/>
  <c r="M15"/>
  <c r="N15" s="1"/>
  <c r="M17"/>
  <c r="N17" s="1"/>
  <c r="M19"/>
  <c r="N19" s="1"/>
  <c r="M21"/>
  <c r="N21" s="1"/>
  <c r="M23"/>
  <c r="N23" s="1"/>
  <c r="M25"/>
  <c r="N25" s="1"/>
  <c r="M27"/>
  <c r="N27" s="1"/>
  <c r="M29"/>
  <c r="N29" s="1"/>
  <c r="M2"/>
  <c r="N2" s="1"/>
  <c r="M4"/>
  <c r="N4" s="1"/>
  <c r="M6"/>
  <c r="N6" s="1"/>
  <c r="M8"/>
  <c r="N8" s="1"/>
  <c r="M10"/>
  <c r="N10" s="1"/>
  <c r="M12"/>
  <c r="N12" s="1"/>
  <c r="M14"/>
  <c r="N14" s="1"/>
  <c r="M16"/>
  <c r="N16" s="1"/>
  <c r="M18"/>
  <c r="N18" s="1"/>
  <c r="M20"/>
  <c r="N20" s="1"/>
  <c r="M22"/>
  <c r="N22" s="1"/>
  <c r="M24"/>
  <c r="N24" s="1"/>
  <c r="M26"/>
  <c r="N26" s="1"/>
  <c r="M28"/>
  <c r="N28" s="1"/>
  <c r="M30"/>
  <c r="N30" s="1"/>
  <c r="K47"/>
  <c r="K48" i="4"/>
  <c r="K48" i="7"/>
  <c r="K48" i="1"/>
  <c r="M37" i="5"/>
  <c r="K59"/>
  <c r="K60" s="1"/>
  <c r="J35" i="1"/>
  <c r="K56" s="1"/>
  <c r="K57" s="1"/>
  <c r="P57" s="1"/>
  <c r="A35" i="2"/>
  <c r="C52" i="6"/>
  <c r="E53"/>
  <c r="C61"/>
  <c r="E62"/>
  <c r="C49"/>
  <c r="C53"/>
  <c r="E63"/>
  <c r="E46"/>
  <c r="E58"/>
  <c r="C59"/>
  <c r="C51"/>
  <c r="C60"/>
  <c r="E61"/>
  <c r="E59"/>
  <c r="E57"/>
  <c r="E55"/>
  <c r="E52"/>
  <c r="C50"/>
  <c r="E48"/>
  <c r="C46"/>
  <c r="C48"/>
  <c r="C57"/>
  <c r="I39"/>
  <c r="L39" s="1"/>
  <c r="O39" s="1"/>
  <c r="C54"/>
  <c r="E45"/>
  <c r="C62"/>
  <c r="C45"/>
  <c r="E50"/>
  <c r="C63"/>
  <c r="C55"/>
  <c r="C47"/>
  <c r="C56"/>
  <c r="E60"/>
  <c r="C58"/>
  <c r="E56"/>
  <c r="E54"/>
  <c r="E51"/>
  <c r="E49"/>
  <c r="E47"/>
  <c r="K56"/>
  <c r="K57" s="1"/>
  <c r="P57" s="1"/>
  <c r="D42" i="5"/>
  <c r="D40"/>
  <c r="I41"/>
  <c r="L41" s="1"/>
  <c r="O41" s="1"/>
  <c r="J35" i="2"/>
  <c r="B39"/>
  <c r="D41"/>
  <c r="K56"/>
  <c r="K57" s="1"/>
  <c r="P57" s="1"/>
  <c r="K59" s="1"/>
  <c r="K60" s="1"/>
  <c r="L42" i="8"/>
  <c r="O42" s="1"/>
  <c r="E45" i="1"/>
  <c r="D41" i="6"/>
  <c r="M37" i="3"/>
  <c r="K59"/>
  <c r="K60" s="1"/>
  <c r="M37" i="2"/>
  <c r="F41" i="3"/>
  <c r="R41" s="1"/>
  <c r="F39"/>
  <c r="B2" s="1"/>
  <c r="K49"/>
  <c r="E2"/>
  <c r="F42"/>
  <c r="R42" s="1"/>
  <c r="F40"/>
  <c r="R40" s="1"/>
  <c r="F41" i="4"/>
  <c r="F39"/>
  <c r="B2" s="1"/>
  <c r="K49"/>
  <c r="F40"/>
  <c r="R40" s="1"/>
  <c r="F42"/>
  <c r="F39" i="1"/>
  <c r="B2" s="1"/>
  <c r="E2" s="1"/>
  <c r="F40"/>
  <c r="K49"/>
  <c r="F42"/>
  <c r="F41"/>
  <c r="F41" i="7"/>
  <c r="R41" s="1"/>
  <c r="F40"/>
  <c r="R40" s="1"/>
  <c r="F39"/>
  <c r="B2" s="1"/>
  <c r="K49"/>
  <c r="F42"/>
  <c r="R42" s="1"/>
  <c r="F39" i="6"/>
  <c r="F41"/>
  <c r="K49"/>
  <c r="R39" i="7"/>
  <c r="R41" i="4"/>
  <c r="M37" i="7"/>
  <c r="K59"/>
  <c r="K60" s="1"/>
  <c r="K59" i="8"/>
  <c r="K60" s="1"/>
  <c r="M37"/>
  <c r="K59" i="4"/>
  <c r="K60" s="1"/>
  <c r="M37"/>
  <c r="F39" i="2"/>
  <c r="F41"/>
  <c r="K49" i="8"/>
  <c r="F41"/>
  <c r="R41" s="1"/>
  <c r="F39"/>
  <c r="F42"/>
  <c r="R42" s="1"/>
  <c r="F40"/>
  <c r="F39" i="5"/>
  <c r="B2" s="1"/>
  <c r="E2" s="1"/>
  <c r="F41"/>
  <c r="F42"/>
  <c r="F40"/>
  <c r="K49"/>
  <c r="R42" i="4"/>
  <c r="R39" i="3"/>
  <c r="R40" i="8"/>
  <c r="R39" i="4"/>
  <c r="K47" i="2" l="1"/>
  <c r="T35"/>
  <c r="O3" i="9"/>
  <c r="O4"/>
  <c r="K48" i="2"/>
  <c r="M37" i="1"/>
  <c r="K59"/>
  <c r="K60" s="1"/>
  <c r="I41"/>
  <c r="L41" s="1"/>
  <c r="O41" s="1"/>
  <c r="R41" s="1"/>
  <c r="C45"/>
  <c r="C46"/>
  <c r="E48"/>
  <c r="I39"/>
  <c r="L39" s="1"/>
  <c r="O39" s="1"/>
  <c r="R39" s="1"/>
  <c r="C48"/>
  <c r="C49"/>
  <c r="E49"/>
  <c r="C50"/>
  <c r="C51"/>
  <c r="C52"/>
  <c r="E52"/>
  <c r="E53"/>
  <c r="E54"/>
  <c r="E55"/>
  <c r="C56"/>
  <c r="E56"/>
  <c r="C58"/>
  <c r="E59"/>
  <c r="E61"/>
  <c r="C62"/>
  <c r="E63"/>
  <c r="E62"/>
  <c r="E46"/>
  <c r="C47"/>
  <c r="E47"/>
  <c r="I42"/>
  <c r="L42" s="1"/>
  <c r="O42" s="1"/>
  <c r="R42" s="1"/>
  <c r="I40"/>
  <c r="L40" s="1"/>
  <c r="O40" s="1"/>
  <c r="R40" s="1"/>
  <c r="E50"/>
  <c r="E51"/>
  <c r="C53"/>
  <c r="C54"/>
  <c r="C55"/>
  <c r="C57"/>
  <c r="E57"/>
  <c r="E58"/>
  <c r="C59"/>
  <c r="C60"/>
  <c r="E60"/>
  <c r="C61"/>
  <c r="C63"/>
  <c r="M37" i="6"/>
  <c r="K59"/>
  <c r="K60" s="1"/>
  <c r="D40"/>
  <c r="D42"/>
  <c r="D40" i="2"/>
  <c r="D42"/>
  <c r="E45"/>
  <c r="E46"/>
  <c r="E49"/>
  <c r="C45"/>
  <c r="E48"/>
  <c r="E52"/>
  <c r="C46"/>
  <c r="E47"/>
  <c r="C53"/>
  <c r="I42"/>
  <c r="I40"/>
  <c r="C54"/>
  <c r="E55"/>
  <c r="C56"/>
  <c r="C57"/>
  <c r="C58"/>
  <c r="C59"/>
  <c r="E60"/>
  <c r="E61"/>
  <c r="E62"/>
  <c r="C63"/>
  <c r="E51"/>
  <c r="C50"/>
  <c r="I39"/>
  <c r="L39" s="1"/>
  <c r="O39" s="1"/>
  <c r="C48"/>
  <c r="E50"/>
  <c r="C47"/>
  <c r="C51"/>
  <c r="C49"/>
  <c r="E53"/>
  <c r="C52"/>
  <c r="I41"/>
  <c r="L41" s="1"/>
  <c r="O41" s="1"/>
  <c r="R41" s="1"/>
  <c r="E54"/>
  <c r="C55"/>
  <c r="E56"/>
  <c r="E57"/>
  <c r="E58"/>
  <c r="E59"/>
  <c r="C60"/>
  <c r="C61"/>
  <c r="C62"/>
  <c r="E63"/>
  <c r="I40" i="5"/>
  <c r="L40" s="1"/>
  <c r="O40" s="1"/>
  <c r="R40" s="1"/>
  <c r="I42"/>
  <c r="L42" s="1"/>
  <c r="O42" s="1"/>
  <c r="R42" s="1"/>
  <c r="R41"/>
  <c r="I41" i="6"/>
  <c r="L41" s="1"/>
  <c r="O41" s="1"/>
  <c r="R41" s="1"/>
  <c r="F2" i="5"/>
  <c r="P49"/>
  <c r="P51"/>
  <c r="P49" i="6"/>
  <c r="P51"/>
  <c r="R39"/>
  <c r="B2"/>
  <c r="P51" i="7"/>
  <c r="P49"/>
  <c r="L2"/>
  <c r="B3"/>
  <c r="O2"/>
  <c r="D2"/>
  <c r="C2"/>
  <c r="F2" i="1"/>
  <c r="H2" s="1"/>
  <c r="I2" s="1"/>
  <c r="P51"/>
  <c r="P49"/>
  <c r="D2"/>
  <c r="B3"/>
  <c r="L2"/>
  <c r="M2" s="1"/>
  <c r="C2"/>
  <c r="B3" i="4"/>
  <c r="D2"/>
  <c r="L2"/>
  <c r="C2"/>
  <c r="F2" i="3"/>
  <c r="H2" s="1"/>
  <c r="I2" s="1"/>
  <c r="O2"/>
  <c r="B3"/>
  <c r="D2"/>
  <c r="C2"/>
  <c r="L2"/>
  <c r="R39" i="5"/>
  <c r="E2" i="4"/>
  <c r="B3" i="5"/>
  <c r="L2"/>
  <c r="O2"/>
  <c r="D2"/>
  <c r="C2"/>
  <c r="B2" i="8"/>
  <c r="R39"/>
  <c r="P51"/>
  <c r="P49"/>
  <c r="B2" i="2"/>
  <c r="R39"/>
  <c r="P51" i="4"/>
  <c r="P49"/>
  <c r="P51" i="3"/>
  <c r="P49"/>
  <c r="E2" i="7"/>
  <c r="K49" i="2" l="1"/>
  <c r="I42" i="6"/>
  <c r="L42" s="1"/>
  <c r="O42" s="1"/>
  <c r="F42"/>
  <c r="L42" i="2"/>
  <c r="O42" s="1"/>
  <c r="F42"/>
  <c r="L40"/>
  <c r="O40" s="1"/>
  <c r="F40"/>
  <c r="I40" i="6"/>
  <c r="L40" s="1"/>
  <c r="O40" s="1"/>
  <c r="F40"/>
  <c r="F2" i="7"/>
  <c r="G2" s="1"/>
  <c r="D2" i="8"/>
  <c r="B3"/>
  <c r="C2"/>
  <c r="O2"/>
  <c r="L2"/>
  <c r="E2"/>
  <c r="F2" i="4"/>
  <c r="G2" s="1"/>
  <c r="J2" s="1"/>
  <c r="K2" s="1"/>
  <c r="B4" i="5"/>
  <c r="D3"/>
  <c r="C3"/>
  <c r="L3"/>
  <c r="O3"/>
  <c r="E3"/>
  <c r="B4" i="3"/>
  <c r="D3"/>
  <c r="L3"/>
  <c r="C3"/>
  <c r="O3"/>
  <c r="E3"/>
  <c r="C3" i="1"/>
  <c r="L3"/>
  <c r="B4"/>
  <c r="D3"/>
  <c r="E3"/>
  <c r="AF2" i="7"/>
  <c r="G2" i="5"/>
  <c r="H2"/>
  <c r="I2" s="1"/>
  <c r="U2" s="1"/>
  <c r="D2" i="2"/>
  <c r="L2"/>
  <c r="B3"/>
  <c r="C2"/>
  <c r="E2"/>
  <c r="M2" i="4"/>
  <c r="L3"/>
  <c r="B4"/>
  <c r="D3"/>
  <c r="C3"/>
  <c r="E3"/>
  <c r="U2" i="1"/>
  <c r="L3" i="7"/>
  <c r="O3"/>
  <c r="B4"/>
  <c r="C3"/>
  <c r="D3"/>
  <c r="E3"/>
  <c r="L2" i="6"/>
  <c r="D2"/>
  <c r="C2"/>
  <c r="B3"/>
  <c r="O2"/>
  <c r="E2"/>
  <c r="U2" i="3"/>
  <c r="G2"/>
  <c r="G2" i="1"/>
  <c r="J2" s="1"/>
  <c r="K2" s="1"/>
  <c r="P51" i="2" l="1"/>
  <c r="P49"/>
  <c r="R40" i="6"/>
  <c r="R42"/>
  <c r="R40" i="2"/>
  <c r="R42"/>
  <c r="X2" i="5"/>
  <c r="Y2" s="1"/>
  <c r="V2"/>
  <c r="W2" s="1"/>
  <c r="Z2" s="1"/>
  <c r="AA2" s="1"/>
  <c r="T2"/>
  <c r="J2" i="3"/>
  <c r="K2" s="1"/>
  <c r="R2" s="1"/>
  <c r="S2" s="1"/>
  <c r="P2"/>
  <c r="Q2" s="1"/>
  <c r="L3" i="6"/>
  <c r="B4"/>
  <c r="D3"/>
  <c r="O3"/>
  <c r="C3"/>
  <c r="E3"/>
  <c r="V2" i="3"/>
  <c r="W2" s="1"/>
  <c r="Z2" s="1"/>
  <c r="AA2" s="1"/>
  <c r="X2"/>
  <c r="Y2" s="1"/>
  <c r="T2"/>
  <c r="AF2" i="6"/>
  <c r="L4" i="7"/>
  <c r="O4"/>
  <c r="B5"/>
  <c r="C4"/>
  <c r="D4"/>
  <c r="E4"/>
  <c r="AF3"/>
  <c r="V2" i="1"/>
  <c r="W2" s="1"/>
  <c r="T2"/>
  <c r="L4" i="4"/>
  <c r="B5"/>
  <c r="D4"/>
  <c r="C4"/>
  <c r="E4"/>
  <c r="P2"/>
  <c r="Q2" s="1"/>
  <c r="O2"/>
  <c r="N2"/>
  <c r="F2" i="2"/>
  <c r="G2" s="1"/>
  <c r="J2" s="1"/>
  <c r="K2" s="1"/>
  <c r="C3"/>
  <c r="L3"/>
  <c r="B4"/>
  <c r="D3"/>
  <c r="E3"/>
  <c r="P2" i="5"/>
  <c r="Q2" s="1"/>
  <c r="J2"/>
  <c r="K2" s="1"/>
  <c r="R2" s="1"/>
  <c r="S2" s="1"/>
  <c r="F3" i="1"/>
  <c r="G3" s="1"/>
  <c r="J3" s="1"/>
  <c r="K3" s="1"/>
  <c r="C4"/>
  <c r="L4"/>
  <c r="D4"/>
  <c r="B5"/>
  <c r="E4"/>
  <c r="B5" i="3"/>
  <c r="C4"/>
  <c r="D4"/>
  <c r="L4"/>
  <c r="O4"/>
  <c r="E4"/>
  <c r="B5" i="5"/>
  <c r="O4"/>
  <c r="C4"/>
  <c r="L4"/>
  <c r="D4"/>
  <c r="E4"/>
  <c r="AF2" i="8"/>
  <c r="J2" i="7"/>
  <c r="K2" s="1"/>
  <c r="R2" s="1"/>
  <c r="S2" s="1"/>
  <c r="P2"/>
  <c r="Q2" s="1"/>
  <c r="H2" i="4"/>
  <c r="I2" s="1"/>
  <c r="U2" s="1"/>
  <c r="F2" i="6"/>
  <c r="G2" s="1"/>
  <c r="F3" i="7"/>
  <c r="G3" s="1"/>
  <c r="N2" i="1"/>
  <c r="O2"/>
  <c r="P2"/>
  <c r="Q2" s="1"/>
  <c r="X2"/>
  <c r="Y2" s="1"/>
  <c r="F3" i="4"/>
  <c r="G3" s="1"/>
  <c r="J3" s="1"/>
  <c r="K3" s="1"/>
  <c r="M3"/>
  <c r="M2" i="2"/>
  <c r="M3" i="1"/>
  <c r="F3" i="3"/>
  <c r="G3" s="1"/>
  <c r="F3" i="5"/>
  <c r="G3" s="1"/>
  <c r="F2" i="8"/>
  <c r="G2" s="1"/>
  <c r="B4"/>
  <c r="C3"/>
  <c r="O3"/>
  <c r="L3"/>
  <c r="D3"/>
  <c r="E3"/>
  <c r="H2" i="7"/>
  <c r="I2" s="1"/>
  <c r="U2" s="1"/>
  <c r="T2" s="1"/>
  <c r="H3" i="4" l="1"/>
  <c r="I3" s="1"/>
  <c r="U3" s="1"/>
  <c r="H3" i="7"/>
  <c r="I3" s="1"/>
  <c r="U3" s="1"/>
  <c r="H2" i="6"/>
  <c r="I2" s="1"/>
  <c r="U2" s="1"/>
  <c r="H3" i="5"/>
  <c r="I3" s="1"/>
  <c r="U3" s="1"/>
  <c r="H3" i="3"/>
  <c r="I3" s="1"/>
  <c r="U3" s="1"/>
  <c r="T3" s="1"/>
  <c r="T3" i="4"/>
  <c r="V3"/>
  <c r="W3" s="1"/>
  <c r="T3" i="7"/>
  <c r="V3"/>
  <c r="W3" s="1"/>
  <c r="Z3" s="1"/>
  <c r="AA3" s="1"/>
  <c r="X3"/>
  <c r="Y3" s="1"/>
  <c r="T2" i="6"/>
  <c r="V2"/>
  <c r="W2" s="1"/>
  <c r="Z2" s="1"/>
  <c r="AA2" s="1"/>
  <c r="X2"/>
  <c r="Y2" s="1"/>
  <c r="X2" i="7"/>
  <c r="Y2" s="1"/>
  <c r="V2"/>
  <c r="W2" s="1"/>
  <c r="Z2" s="1"/>
  <c r="AA2" s="1"/>
  <c r="AF3" i="8"/>
  <c r="P2"/>
  <c r="Q2" s="1"/>
  <c r="J2"/>
  <c r="K2" s="1"/>
  <c r="R2" s="1"/>
  <c r="S2" s="1"/>
  <c r="O3" i="4"/>
  <c r="P3"/>
  <c r="Q3" s="1"/>
  <c r="X3"/>
  <c r="Y3" s="1"/>
  <c r="N3"/>
  <c r="R2" i="1"/>
  <c r="S2" s="1"/>
  <c r="Z2"/>
  <c r="AA2" s="1"/>
  <c r="V2" i="4"/>
  <c r="W2" s="1"/>
  <c r="T2"/>
  <c r="F4" i="5"/>
  <c r="G4" s="1"/>
  <c r="F4" i="3"/>
  <c r="G4" s="1"/>
  <c r="F4" i="1"/>
  <c r="G4" s="1"/>
  <c r="J4" s="1"/>
  <c r="K4" s="1"/>
  <c r="M3" i="2"/>
  <c r="F4" i="4"/>
  <c r="G4" s="1"/>
  <c r="J4" s="1"/>
  <c r="K4" s="1"/>
  <c r="M4"/>
  <c r="AH3" i="7"/>
  <c r="AG3"/>
  <c r="B6"/>
  <c r="O5"/>
  <c r="C5"/>
  <c r="L5"/>
  <c r="D5"/>
  <c r="E5"/>
  <c r="AF4"/>
  <c r="AG2" i="6"/>
  <c r="AH2"/>
  <c r="F3"/>
  <c r="G3" s="1"/>
  <c r="C4"/>
  <c r="D4"/>
  <c r="O4"/>
  <c r="B5"/>
  <c r="L4"/>
  <c r="E4"/>
  <c r="AD2" i="5"/>
  <c r="AC2"/>
  <c r="H2" i="2"/>
  <c r="I2" s="1"/>
  <c r="U2" s="1"/>
  <c r="X2" i="4"/>
  <c r="Y2" s="1"/>
  <c r="F3" i="8"/>
  <c r="G3" s="1"/>
  <c r="V3" i="5"/>
  <c r="W3" s="1"/>
  <c r="Z3" s="1"/>
  <c r="AA3" s="1"/>
  <c r="T3"/>
  <c r="X3"/>
  <c r="Y3" s="1"/>
  <c r="C4" i="8"/>
  <c r="L4"/>
  <c r="D4"/>
  <c r="B5"/>
  <c r="O4"/>
  <c r="E4"/>
  <c r="J3" i="5"/>
  <c r="K3" s="1"/>
  <c r="R3" s="1"/>
  <c r="S3" s="1"/>
  <c r="P3"/>
  <c r="Q3" s="1"/>
  <c r="J3" i="3"/>
  <c r="K3" s="1"/>
  <c r="R3" s="1"/>
  <c r="S3" s="1"/>
  <c r="P3"/>
  <c r="Q3" s="1"/>
  <c r="N3" i="1"/>
  <c r="O3"/>
  <c r="P3"/>
  <c r="Q3" s="1"/>
  <c r="P2" i="2"/>
  <c r="Q2" s="1"/>
  <c r="O2"/>
  <c r="N2"/>
  <c r="X2"/>
  <c r="Y2" s="1"/>
  <c r="J3" i="7"/>
  <c r="K3" s="1"/>
  <c r="R3" s="1"/>
  <c r="S3" s="1"/>
  <c r="P3"/>
  <c r="Q3" s="1"/>
  <c r="P2" i="6"/>
  <c r="Q2" s="1"/>
  <c r="J2"/>
  <c r="K2" s="1"/>
  <c r="R2" s="1"/>
  <c r="S2" s="1"/>
  <c r="B6" i="5"/>
  <c r="O5"/>
  <c r="L5"/>
  <c r="C5"/>
  <c r="D5"/>
  <c r="E5"/>
  <c r="B6" i="3"/>
  <c r="C5"/>
  <c r="O5"/>
  <c r="L5"/>
  <c r="D5"/>
  <c r="E5"/>
  <c r="B6" i="1"/>
  <c r="D5"/>
  <c r="C5"/>
  <c r="L5"/>
  <c r="E5"/>
  <c r="M4"/>
  <c r="F3" i="2"/>
  <c r="G3" s="1"/>
  <c r="J3" s="1"/>
  <c r="K3" s="1"/>
  <c r="C4"/>
  <c r="D4"/>
  <c r="L4"/>
  <c r="B5"/>
  <c r="E4"/>
  <c r="Z2" i="4"/>
  <c r="AA2" s="1"/>
  <c r="R2"/>
  <c r="S2" s="1"/>
  <c r="B6"/>
  <c r="D5"/>
  <c r="L5"/>
  <c r="C5"/>
  <c r="E5"/>
  <c r="AD2" i="1"/>
  <c r="AC2"/>
  <c r="F4" i="7"/>
  <c r="G4" s="1"/>
  <c r="AC2" i="3"/>
  <c r="AD2"/>
  <c r="AF3" i="6"/>
  <c r="H2" i="8"/>
  <c r="I2" s="1"/>
  <c r="U2" s="1"/>
  <c r="H3" i="1"/>
  <c r="I3" s="1"/>
  <c r="U3" s="1"/>
  <c r="H4" i="3" l="1"/>
  <c r="I4" s="1"/>
  <c r="U4" s="1"/>
  <c r="X3"/>
  <c r="Y3" s="1"/>
  <c r="V3"/>
  <c r="W3" s="1"/>
  <c r="Z3" s="1"/>
  <c r="AA3" s="1"/>
  <c r="H3" i="8"/>
  <c r="I3" s="1"/>
  <c r="U3" s="1"/>
  <c r="X3" s="1"/>
  <c r="Y3" s="1"/>
  <c r="H3" i="6"/>
  <c r="I3" s="1"/>
  <c r="U3" s="1"/>
  <c r="T3" i="8"/>
  <c r="V3"/>
  <c r="W3" s="1"/>
  <c r="Z3" s="1"/>
  <c r="AA3" s="1"/>
  <c r="T2"/>
  <c r="V2"/>
  <c r="W2" s="1"/>
  <c r="Z2" s="1"/>
  <c r="AA2" s="1"/>
  <c r="X2"/>
  <c r="Y2" s="1"/>
  <c r="P4" i="7"/>
  <c r="Q4" s="1"/>
  <c r="J4"/>
  <c r="K4" s="1"/>
  <c r="R4" s="1"/>
  <c r="S4" s="1"/>
  <c r="F4" i="2"/>
  <c r="G4" s="1"/>
  <c r="J4" s="1"/>
  <c r="K4" s="1"/>
  <c r="M4"/>
  <c r="O4" i="1"/>
  <c r="P4"/>
  <c r="Q4" s="1"/>
  <c r="N4"/>
  <c r="M5"/>
  <c r="F5" i="3"/>
  <c r="G5" s="1"/>
  <c r="F5" i="5"/>
  <c r="G5" s="1"/>
  <c r="R2" i="2"/>
  <c r="S2" s="1"/>
  <c r="R3" i="1"/>
  <c r="S3" s="1"/>
  <c r="F4" i="8"/>
  <c r="G4" s="1"/>
  <c r="C5"/>
  <c r="O5"/>
  <c r="E5"/>
  <c r="L5"/>
  <c r="B6"/>
  <c r="D5"/>
  <c r="AF4"/>
  <c r="J3"/>
  <c r="K3" s="1"/>
  <c r="R3" s="1"/>
  <c r="S3" s="1"/>
  <c r="P3"/>
  <c r="Q3" s="1"/>
  <c r="V2" i="2"/>
  <c r="W2" s="1"/>
  <c r="Z2" s="1"/>
  <c r="AA2" s="1"/>
  <c r="T2"/>
  <c r="AF4" i="6"/>
  <c r="C6" i="7"/>
  <c r="D6"/>
  <c r="O6"/>
  <c r="L6"/>
  <c r="B7"/>
  <c r="E6"/>
  <c r="P4" i="4"/>
  <c r="Q4" s="1"/>
  <c r="N4"/>
  <c r="O4"/>
  <c r="P3" i="2"/>
  <c r="Q3" s="1"/>
  <c r="O3"/>
  <c r="N3"/>
  <c r="J4" i="3"/>
  <c r="K4" s="1"/>
  <c r="R4" s="1"/>
  <c r="S4" s="1"/>
  <c r="P4"/>
  <c r="Q4" s="1"/>
  <c r="J4" i="5"/>
  <c r="K4" s="1"/>
  <c r="R4" s="1"/>
  <c r="S4" s="1"/>
  <c r="P4"/>
  <c r="Q4" s="1"/>
  <c r="Z3" i="4"/>
  <c r="AA3" s="1"/>
  <c r="R3"/>
  <c r="S3" s="1"/>
  <c r="AG3" i="8"/>
  <c r="AH3"/>
  <c r="AD2" i="7"/>
  <c r="AC2"/>
  <c r="AH2"/>
  <c r="AG2"/>
  <c r="AD2" i="6"/>
  <c r="AC2"/>
  <c r="AD3" i="3"/>
  <c r="AC3"/>
  <c r="AD3" i="4"/>
  <c r="AC3"/>
  <c r="H3" i="2"/>
  <c r="I3" s="1"/>
  <c r="U3" s="1"/>
  <c r="H4" i="5"/>
  <c r="I4" s="1"/>
  <c r="U4" s="1"/>
  <c r="T3" i="6"/>
  <c r="AH3" s="1"/>
  <c r="X3"/>
  <c r="Y3" s="1"/>
  <c r="V3"/>
  <c r="W3" s="1"/>
  <c r="Z3" s="1"/>
  <c r="AA3" s="1"/>
  <c r="V3" i="1"/>
  <c r="W3" s="1"/>
  <c r="Z3" s="1"/>
  <c r="AA3" s="1"/>
  <c r="T3"/>
  <c r="AG3" i="6"/>
  <c r="F5" i="4"/>
  <c r="G5" s="1"/>
  <c r="J5" s="1"/>
  <c r="K5" s="1"/>
  <c r="M5"/>
  <c r="B7"/>
  <c r="C6"/>
  <c r="E6"/>
  <c r="L6"/>
  <c r="D6"/>
  <c r="C5" i="2"/>
  <c r="D5"/>
  <c r="L5"/>
  <c r="B6"/>
  <c r="E5"/>
  <c r="F5" i="1"/>
  <c r="G5" s="1"/>
  <c r="J5" s="1"/>
  <c r="K5" s="1"/>
  <c r="C6"/>
  <c r="L6"/>
  <c r="E6"/>
  <c r="B7"/>
  <c r="D6"/>
  <c r="B7" i="3"/>
  <c r="C6"/>
  <c r="E6"/>
  <c r="L6"/>
  <c r="O6"/>
  <c r="D6"/>
  <c r="L6" i="5"/>
  <c r="D6"/>
  <c r="O6"/>
  <c r="C6"/>
  <c r="B7"/>
  <c r="E6"/>
  <c r="AD3"/>
  <c r="AC3"/>
  <c r="T4" i="3"/>
  <c r="V4"/>
  <c r="W4" s="1"/>
  <c r="Z4" s="1"/>
  <c r="AA4" s="1"/>
  <c r="X4"/>
  <c r="Y4" s="1"/>
  <c r="F4" i="6"/>
  <c r="G4" s="1"/>
  <c r="L5"/>
  <c r="C5"/>
  <c r="D5"/>
  <c r="O5"/>
  <c r="B6"/>
  <c r="E5"/>
  <c r="P3"/>
  <c r="Q3" s="1"/>
  <c r="J3"/>
  <c r="K3" s="1"/>
  <c r="R3" s="1"/>
  <c r="S3" s="1"/>
  <c r="F5" i="7"/>
  <c r="G5" s="1"/>
  <c r="AF5"/>
  <c r="AD2" i="4"/>
  <c r="AC2"/>
  <c r="AD3" i="7"/>
  <c r="AC3"/>
  <c r="H4"/>
  <c r="I4" s="1"/>
  <c r="U4" s="1"/>
  <c r="X3" i="1"/>
  <c r="Y3" s="1"/>
  <c r="H4" i="4"/>
  <c r="I4" s="1"/>
  <c r="U4" s="1"/>
  <c r="H4" i="1"/>
  <c r="I4" s="1"/>
  <c r="U4" s="1"/>
  <c r="H5" i="4" l="1"/>
  <c r="I5" s="1"/>
  <c r="U5" s="1"/>
  <c r="H5" i="7"/>
  <c r="I5" s="1"/>
  <c r="U5" s="1"/>
  <c r="H4" i="6"/>
  <c r="I4" s="1"/>
  <c r="U4" s="1"/>
  <c r="H5" i="3"/>
  <c r="I5" s="1"/>
  <c r="U5" s="1"/>
  <c r="T4" i="6"/>
  <c r="X4"/>
  <c r="Y4" s="1"/>
  <c r="V4"/>
  <c r="W4" s="1"/>
  <c r="Z4" s="1"/>
  <c r="AA4" s="1"/>
  <c r="V4" i="1"/>
  <c r="W4" s="1"/>
  <c r="T4"/>
  <c r="T4" i="7"/>
  <c r="V4"/>
  <c r="W4" s="1"/>
  <c r="Z4" s="1"/>
  <c r="AA4" s="1"/>
  <c r="X4"/>
  <c r="Y4" s="1"/>
  <c r="J5"/>
  <c r="K5" s="1"/>
  <c r="R5" s="1"/>
  <c r="S5" s="1"/>
  <c r="P5"/>
  <c r="Q5" s="1"/>
  <c r="L6" i="6"/>
  <c r="E6"/>
  <c r="O6"/>
  <c r="C6"/>
  <c r="B7"/>
  <c r="D6"/>
  <c r="AF5"/>
  <c r="P4"/>
  <c r="Q4" s="1"/>
  <c r="J4"/>
  <c r="K4" s="1"/>
  <c r="R4" s="1"/>
  <c r="S4" s="1"/>
  <c r="F6" i="5"/>
  <c r="G6" s="1"/>
  <c r="F6" i="1"/>
  <c r="G6" s="1"/>
  <c r="J6" s="1"/>
  <c r="K6" s="1"/>
  <c r="C6" i="2"/>
  <c r="E6"/>
  <c r="L6"/>
  <c r="B7"/>
  <c r="D6"/>
  <c r="F6" i="4"/>
  <c r="G6" s="1"/>
  <c r="J6" s="1"/>
  <c r="K6" s="1"/>
  <c r="L7"/>
  <c r="D7"/>
  <c r="B8"/>
  <c r="C7"/>
  <c r="E7"/>
  <c r="P5"/>
  <c r="Q5" s="1"/>
  <c r="O5"/>
  <c r="X5"/>
  <c r="Y5" s="1"/>
  <c r="N5"/>
  <c r="X4" i="5"/>
  <c r="Y4" s="1"/>
  <c r="V4"/>
  <c r="W4" s="1"/>
  <c r="Z4" s="1"/>
  <c r="AA4" s="1"/>
  <c r="T4"/>
  <c r="T3" i="2"/>
  <c r="V3"/>
  <c r="W3" s="1"/>
  <c r="R3"/>
  <c r="S3" s="1"/>
  <c r="Z3"/>
  <c r="AA3" s="1"/>
  <c r="R4" i="4"/>
  <c r="S4" s="1"/>
  <c r="B8" i="7"/>
  <c r="C7"/>
  <c r="E7"/>
  <c r="L7"/>
  <c r="D7"/>
  <c r="O7"/>
  <c r="AH4" i="6"/>
  <c r="AG4"/>
  <c r="L6" i="8"/>
  <c r="E6"/>
  <c r="O6"/>
  <c r="B7"/>
  <c r="C6"/>
  <c r="D6"/>
  <c r="F5"/>
  <c r="G5" s="1"/>
  <c r="P4"/>
  <c r="Q4" s="1"/>
  <c r="J4"/>
  <c r="K4" s="1"/>
  <c r="R4" s="1"/>
  <c r="S4" s="1"/>
  <c r="P5" i="5"/>
  <c r="Q5" s="1"/>
  <c r="J5"/>
  <c r="K5" s="1"/>
  <c r="R5" s="1"/>
  <c r="S5" s="1"/>
  <c r="J5" i="3"/>
  <c r="K5" s="1"/>
  <c r="R5" s="1"/>
  <c r="S5" s="1"/>
  <c r="P5"/>
  <c r="Q5" s="1"/>
  <c r="N5" i="1"/>
  <c r="O5"/>
  <c r="P5"/>
  <c r="Q5" s="1"/>
  <c r="R4"/>
  <c r="S4" s="1"/>
  <c r="Z4"/>
  <c r="AA4" s="1"/>
  <c r="AD3" i="8"/>
  <c r="AC3"/>
  <c r="H5" i="1"/>
  <c r="I5" s="1"/>
  <c r="U5" s="1"/>
  <c r="H4" i="2"/>
  <c r="I4" s="1"/>
  <c r="U4" s="1"/>
  <c r="V4" i="4"/>
  <c r="W4" s="1"/>
  <c r="Z4" s="1"/>
  <c r="AA4" s="1"/>
  <c r="T4"/>
  <c r="X5" i="7"/>
  <c r="Y5" s="1"/>
  <c r="V5"/>
  <c r="W5" s="1"/>
  <c r="Z5" s="1"/>
  <c r="AA5" s="1"/>
  <c r="T5"/>
  <c r="F5" i="6"/>
  <c r="G5" s="1"/>
  <c r="AC4" i="3"/>
  <c r="AD4"/>
  <c r="C7" i="5"/>
  <c r="L7"/>
  <c r="D7"/>
  <c r="B8"/>
  <c r="E7"/>
  <c r="O7"/>
  <c r="F6" i="3"/>
  <c r="G6" s="1"/>
  <c r="L7"/>
  <c r="O7"/>
  <c r="D7"/>
  <c r="B8"/>
  <c r="C7"/>
  <c r="E7"/>
  <c r="C7" i="1"/>
  <c r="L7"/>
  <c r="D7"/>
  <c r="B8"/>
  <c r="E7"/>
  <c r="M6"/>
  <c r="F5" i="2"/>
  <c r="G5" s="1"/>
  <c r="J5" s="1"/>
  <c r="K5" s="1"/>
  <c r="M5"/>
  <c r="M6" i="4"/>
  <c r="V5"/>
  <c r="W5" s="1"/>
  <c r="T5"/>
  <c r="AD3" i="1"/>
  <c r="AC3"/>
  <c r="AD3" i="6"/>
  <c r="AC3"/>
  <c r="V5" i="3"/>
  <c r="W5" s="1"/>
  <c r="Z5" s="1"/>
  <c r="AA5" s="1"/>
  <c r="X5"/>
  <c r="Y5" s="1"/>
  <c r="T5"/>
  <c r="F6" i="7"/>
  <c r="G6" s="1"/>
  <c r="AF6"/>
  <c r="AD2" i="2"/>
  <c r="AC2"/>
  <c r="AF5" i="8"/>
  <c r="N4" i="2"/>
  <c r="P4"/>
  <c r="Q4" s="1"/>
  <c r="O4"/>
  <c r="X4"/>
  <c r="Y4" s="1"/>
  <c r="AD2" i="8"/>
  <c r="AC2"/>
  <c r="AH2"/>
  <c r="AG2"/>
  <c r="X3" i="2"/>
  <c r="Y3" s="1"/>
  <c r="X4" i="4"/>
  <c r="Y4" s="1"/>
  <c r="H4" i="8"/>
  <c r="I4" s="1"/>
  <c r="U4" s="1"/>
  <c r="H5" i="5"/>
  <c r="I5" s="1"/>
  <c r="U5" s="1"/>
  <c r="X4" i="1"/>
  <c r="Y4" s="1"/>
  <c r="H5" i="2" l="1"/>
  <c r="I5" s="1"/>
  <c r="U5" s="1"/>
  <c r="H6" i="1"/>
  <c r="I6" s="1"/>
  <c r="U6" s="1"/>
  <c r="H6" i="5"/>
  <c r="I6" s="1"/>
  <c r="U6" s="1"/>
  <c r="V5"/>
  <c r="W5" s="1"/>
  <c r="Z5" s="1"/>
  <c r="AA5" s="1"/>
  <c r="T5"/>
  <c r="X5"/>
  <c r="Y5" s="1"/>
  <c r="V4" i="8"/>
  <c r="W4" s="1"/>
  <c r="Z4" s="1"/>
  <c r="AA4" s="1"/>
  <c r="X4"/>
  <c r="Y4" s="1"/>
  <c r="T4"/>
  <c r="AC5" i="3"/>
  <c r="AD5"/>
  <c r="P6" i="4"/>
  <c r="Q6" s="1"/>
  <c r="O6"/>
  <c r="N6"/>
  <c r="P5" i="2"/>
  <c r="Q5" s="1"/>
  <c r="O5"/>
  <c r="X5"/>
  <c r="Y5" s="1"/>
  <c r="N5"/>
  <c r="O6" i="1"/>
  <c r="P6"/>
  <c r="Q6" s="1"/>
  <c r="X6"/>
  <c r="Y6" s="1"/>
  <c r="N6"/>
  <c r="C8"/>
  <c r="L8"/>
  <c r="D8"/>
  <c r="B9"/>
  <c r="E8"/>
  <c r="M7"/>
  <c r="F7" i="3"/>
  <c r="G7" s="1"/>
  <c r="B9"/>
  <c r="C8"/>
  <c r="D8"/>
  <c r="L8"/>
  <c r="E8"/>
  <c r="O8"/>
  <c r="C8" i="5"/>
  <c r="L8"/>
  <c r="D8"/>
  <c r="B9"/>
  <c r="E8"/>
  <c r="O8"/>
  <c r="AD5" i="7"/>
  <c r="AC5"/>
  <c r="V5" i="1"/>
  <c r="W5" s="1"/>
  <c r="T5"/>
  <c r="Z5"/>
  <c r="AA5" s="1"/>
  <c r="R5"/>
  <c r="S5" s="1"/>
  <c r="L7" i="8"/>
  <c r="E7"/>
  <c r="O7"/>
  <c r="B8"/>
  <c r="C7"/>
  <c r="D7"/>
  <c r="F6"/>
  <c r="G6" s="1"/>
  <c r="AF7" i="7"/>
  <c r="AD4" i="5"/>
  <c r="AC4"/>
  <c r="M6" i="2"/>
  <c r="J6" i="5"/>
  <c r="K6" s="1"/>
  <c r="R6" s="1"/>
  <c r="S6" s="1"/>
  <c r="P6"/>
  <c r="Q6" s="1"/>
  <c r="L7" i="6"/>
  <c r="C7"/>
  <c r="E7"/>
  <c r="B8"/>
  <c r="D7"/>
  <c r="O7"/>
  <c r="AF6"/>
  <c r="AD4" i="1"/>
  <c r="AC4"/>
  <c r="AC4" i="6"/>
  <c r="AD4"/>
  <c r="H6" i="7"/>
  <c r="I6" s="1"/>
  <c r="U6" s="1"/>
  <c r="H6" i="3"/>
  <c r="I6" s="1"/>
  <c r="U6" s="1"/>
  <c r="H5" i="6"/>
  <c r="I5" s="1"/>
  <c r="U5" s="1"/>
  <c r="X5" i="1"/>
  <c r="Y5" s="1"/>
  <c r="H5" i="8"/>
  <c r="I5" s="1"/>
  <c r="U5" s="1"/>
  <c r="AG5" i="7"/>
  <c r="V6" i="5"/>
  <c r="W6" s="1"/>
  <c r="Z6" s="1"/>
  <c r="AA6" s="1"/>
  <c r="X6"/>
  <c r="Y6" s="1"/>
  <c r="T6"/>
  <c r="R4" i="2"/>
  <c r="S4" s="1"/>
  <c r="J6" i="7"/>
  <c r="K6" s="1"/>
  <c r="R6" s="1"/>
  <c r="S6" s="1"/>
  <c r="P6"/>
  <c r="Q6" s="1"/>
  <c r="AD5" i="4"/>
  <c r="AC5"/>
  <c r="V5" i="2"/>
  <c r="W5" s="1"/>
  <c r="T5"/>
  <c r="V6" i="1"/>
  <c r="W6" s="1"/>
  <c r="T6"/>
  <c r="F7"/>
  <c r="G7" s="1"/>
  <c r="J7" s="1"/>
  <c r="K7" s="1"/>
  <c r="J6" i="3"/>
  <c r="K6" s="1"/>
  <c r="R6" s="1"/>
  <c r="S6" s="1"/>
  <c r="P6"/>
  <c r="Q6" s="1"/>
  <c r="F7" i="5"/>
  <c r="G7" s="1"/>
  <c r="J5" i="6"/>
  <c r="K5" s="1"/>
  <c r="R5" s="1"/>
  <c r="S5" s="1"/>
  <c r="P5"/>
  <c r="Q5" s="1"/>
  <c r="AC4" i="4"/>
  <c r="AD4"/>
  <c r="T4" i="2"/>
  <c r="V4"/>
  <c r="W4" s="1"/>
  <c r="Z4" s="1"/>
  <c r="AA4" s="1"/>
  <c r="J5" i="8"/>
  <c r="K5" s="1"/>
  <c r="R5" s="1"/>
  <c r="S5" s="1"/>
  <c r="P5"/>
  <c r="Q5" s="1"/>
  <c r="AF6"/>
  <c r="F7" i="7"/>
  <c r="G7" s="1"/>
  <c r="L8"/>
  <c r="D8"/>
  <c r="O8"/>
  <c r="B9"/>
  <c r="C8"/>
  <c r="E8"/>
  <c r="AD3" i="2"/>
  <c r="AC3"/>
  <c r="R5" i="4"/>
  <c r="S5" s="1"/>
  <c r="Z5"/>
  <c r="AA5" s="1"/>
  <c r="F7"/>
  <c r="G7" s="1"/>
  <c r="J7" s="1"/>
  <c r="K7" s="1"/>
  <c r="L8"/>
  <c r="D8"/>
  <c r="B9"/>
  <c r="C8"/>
  <c r="E8"/>
  <c r="M7"/>
  <c r="L7" i="2"/>
  <c r="B8"/>
  <c r="E7"/>
  <c r="C7"/>
  <c r="D7"/>
  <c r="F6"/>
  <c r="G6" s="1"/>
  <c r="J6" s="1"/>
  <c r="K6" s="1"/>
  <c r="F6" i="6"/>
  <c r="G6" s="1"/>
  <c r="AD4" i="7"/>
  <c r="AC4"/>
  <c r="AG4"/>
  <c r="AH4"/>
  <c r="H6" i="4"/>
  <c r="I6" s="1"/>
  <c r="U6" s="1"/>
  <c r="AH5" i="7"/>
  <c r="H7" i="4" l="1"/>
  <c r="I7" s="1"/>
  <c r="U7" s="1"/>
  <c r="H7" i="7"/>
  <c r="I7" s="1"/>
  <c r="U7" s="1"/>
  <c r="T7" s="1"/>
  <c r="H7" i="1"/>
  <c r="I7" s="1"/>
  <c r="U7" s="1"/>
  <c r="T7" s="1"/>
  <c r="H7" i="3"/>
  <c r="I7" s="1"/>
  <c r="U7" s="1"/>
  <c r="V7" i="1"/>
  <c r="W7" s="1"/>
  <c r="V7" i="7"/>
  <c r="W7" s="1"/>
  <c r="Z7" s="1"/>
  <c r="AA7" s="1"/>
  <c r="V6" i="4"/>
  <c r="W6" s="1"/>
  <c r="T6"/>
  <c r="P6" i="6"/>
  <c r="Q6" s="1"/>
  <c r="J6"/>
  <c r="K6" s="1"/>
  <c r="R6" s="1"/>
  <c r="S6" s="1"/>
  <c r="F7" i="2"/>
  <c r="G7" s="1"/>
  <c r="J7" s="1"/>
  <c r="K7" s="1"/>
  <c r="M7"/>
  <c r="P7" i="4"/>
  <c r="Q7" s="1"/>
  <c r="X7"/>
  <c r="Y7" s="1"/>
  <c r="O7"/>
  <c r="N7"/>
  <c r="F8" i="7"/>
  <c r="G8" s="1"/>
  <c r="B10"/>
  <c r="D9"/>
  <c r="O9"/>
  <c r="C9"/>
  <c r="L9"/>
  <c r="E9"/>
  <c r="J7"/>
  <c r="K7" s="1"/>
  <c r="R7" s="1"/>
  <c r="S7" s="1"/>
  <c r="P7"/>
  <c r="Q7" s="1"/>
  <c r="AD6" i="1"/>
  <c r="AC6"/>
  <c r="AC5" i="2"/>
  <c r="AD5"/>
  <c r="AC6" i="5"/>
  <c r="AD6"/>
  <c r="T5" i="8"/>
  <c r="X5"/>
  <c r="Y5" s="1"/>
  <c r="V5"/>
  <c r="W5" s="1"/>
  <c r="Z5" s="1"/>
  <c r="AA5" s="1"/>
  <c r="T5" i="6"/>
  <c r="V5"/>
  <c r="W5" s="1"/>
  <c r="Z5" s="1"/>
  <c r="AA5" s="1"/>
  <c r="X5"/>
  <c r="Y5" s="1"/>
  <c r="T6" i="3"/>
  <c r="V6"/>
  <c r="W6" s="1"/>
  <c r="Z6" s="1"/>
  <c r="AA6" s="1"/>
  <c r="X6"/>
  <c r="Y6" s="1"/>
  <c r="C8" i="6"/>
  <c r="E8"/>
  <c r="O8"/>
  <c r="B9"/>
  <c r="L8"/>
  <c r="D8"/>
  <c r="C8" i="8"/>
  <c r="L8"/>
  <c r="E8"/>
  <c r="B9"/>
  <c r="O8"/>
  <c r="D8"/>
  <c r="F7"/>
  <c r="G7" s="1"/>
  <c r="AC5" i="1"/>
  <c r="AD5"/>
  <c r="L9" i="5"/>
  <c r="C9"/>
  <c r="E9"/>
  <c r="B10"/>
  <c r="D9"/>
  <c r="O9"/>
  <c r="O7" i="1"/>
  <c r="X7"/>
  <c r="Y7" s="1"/>
  <c r="P7"/>
  <c r="Q7" s="1"/>
  <c r="N7"/>
  <c r="F8"/>
  <c r="G8" s="1"/>
  <c r="J8" s="1"/>
  <c r="K8" s="1"/>
  <c r="Z6"/>
  <c r="AA6" s="1"/>
  <c r="R6"/>
  <c r="S6" s="1"/>
  <c r="R6" i="4"/>
  <c r="S6" s="1"/>
  <c r="Z6"/>
  <c r="AA6" s="1"/>
  <c r="H7" i="5"/>
  <c r="I7" s="1"/>
  <c r="U7" s="1"/>
  <c r="T7" i="3"/>
  <c r="V7"/>
  <c r="W7" s="1"/>
  <c r="Z7" s="1"/>
  <c r="AA7" s="1"/>
  <c r="X7"/>
  <c r="Y7" s="1"/>
  <c r="C8" i="2"/>
  <c r="D8"/>
  <c r="L8"/>
  <c r="B9"/>
  <c r="E8"/>
  <c r="V7" i="4"/>
  <c r="W7" s="1"/>
  <c r="T7"/>
  <c r="F8"/>
  <c r="G8" s="1"/>
  <c r="J8" s="1"/>
  <c r="K8" s="1"/>
  <c r="B10"/>
  <c r="C9"/>
  <c r="D9"/>
  <c r="L9"/>
  <c r="E9"/>
  <c r="M8"/>
  <c r="AF8" i="7"/>
  <c r="AC4" i="2"/>
  <c r="AD4"/>
  <c r="P7" i="5"/>
  <c r="Q7" s="1"/>
  <c r="J7"/>
  <c r="K7" s="1"/>
  <c r="R7" s="1"/>
  <c r="S7" s="1"/>
  <c r="T6" i="7"/>
  <c r="X6"/>
  <c r="Y6" s="1"/>
  <c r="V6"/>
  <c r="W6" s="1"/>
  <c r="Z6" s="1"/>
  <c r="AA6" s="1"/>
  <c r="F7" i="6"/>
  <c r="G7" s="1"/>
  <c r="AF7"/>
  <c r="P6" i="2"/>
  <c r="Q6" s="1"/>
  <c r="O6"/>
  <c r="N6"/>
  <c r="P6" i="8"/>
  <c r="Q6" s="1"/>
  <c r="J6"/>
  <c r="K6" s="1"/>
  <c r="R6" s="1"/>
  <c r="S6" s="1"/>
  <c r="AF7"/>
  <c r="F8" i="5"/>
  <c r="G8" s="1"/>
  <c r="F8" i="3"/>
  <c r="G8" s="1"/>
  <c r="L9"/>
  <c r="E9"/>
  <c r="O9"/>
  <c r="B10"/>
  <c r="C9"/>
  <c r="D9"/>
  <c r="P7"/>
  <c r="Q7" s="1"/>
  <c r="J7"/>
  <c r="K7" s="1"/>
  <c r="R7" s="1"/>
  <c r="S7" s="1"/>
  <c r="B10" i="1"/>
  <c r="D9"/>
  <c r="C9"/>
  <c r="L9"/>
  <c r="E9"/>
  <c r="M8"/>
  <c r="Z5" i="2"/>
  <c r="AA5" s="1"/>
  <c r="R5"/>
  <c r="S5" s="1"/>
  <c r="AC4" i="8"/>
  <c r="AD4"/>
  <c r="AG4"/>
  <c r="AH4"/>
  <c r="AC5" i="5"/>
  <c r="AD5"/>
  <c r="H6" i="6"/>
  <c r="I6" s="1"/>
  <c r="U6" s="1"/>
  <c r="H6" i="2"/>
  <c r="I6" s="1"/>
  <c r="U6" s="1"/>
  <c r="X6" s="1"/>
  <c r="Y6" s="1"/>
  <c r="H6" i="8"/>
  <c r="I6" s="1"/>
  <c r="U6" s="1"/>
  <c r="X6" i="4"/>
  <c r="Y6" s="1"/>
  <c r="X7" i="7" l="1"/>
  <c r="Y7" s="1"/>
  <c r="AH7"/>
  <c r="AG7"/>
  <c r="H8" i="4"/>
  <c r="I8" s="1"/>
  <c r="U8" s="1"/>
  <c r="H8" i="3"/>
  <c r="I8" s="1"/>
  <c r="U8" s="1"/>
  <c r="T8" s="1"/>
  <c r="H8" i="5"/>
  <c r="I8" s="1"/>
  <c r="U8" s="1"/>
  <c r="H8" i="1"/>
  <c r="I8" s="1"/>
  <c r="U8" s="1"/>
  <c r="V8" i="3"/>
  <c r="W8" s="1"/>
  <c r="Z8" s="1"/>
  <c r="AA8" s="1"/>
  <c r="X8"/>
  <c r="Y8" s="1"/>
  <c r="V8" i="5"/>
  <c r="W8" s="1"/>
  <c r="Z8" s="1"/>
  <c r="AA8" s="1"/>
  <c r="T8"/>
  <c r="X8"/>
  <c r="Y8" s="1"/>
  <c r="V6" i="8"/>
  <c r="W6" s="1"/>
  <c r="Z6" s="1"/>
  <c r="AA6" s="1"/>
  <c r="T6"/>
  <c r="X6"/>
  <c r="Y6" s="1"/>
  <c r="N8" i="1"/>
  <c r="X8"/>
  <c r="Y8" s="1"/>
  <c r="O8"/>
  <c r="P8"/>
  <c r="Q8" s="1"/>
  <c r="M9"/>
  <c r="B11" i="3"/>
  <c r="C10"/>
  <c r="E10"/>
  <c r="L10"/>
  <c r="O10"/>
  <c r="D10"/>
  <c r="F9"/>
  <c r="G9" s="1"/>
  <c r="R6" i="2"/>
  <c r="S6" s="1"/>
  <c r="P7" i="6"/>
  <c r="Q7" s="1"/>
  <c r="J7"/>
  <c r="K7" s="1"/>
  <c r="R7" s="1"/>
  <c r="S7" s="1"/>
  <c r="AD6" i="7"/>
  <c r="AC6"/>
  <c r="AG6"/>
  <c r="AH6"/>
  <c r="V8" i="4"/>
  <c r="W8" s="1"/>
  <c r="T8"/>
  <c r="M9"/>
  <c r="AD7"/>
  <c r="AC7"/>
  <c r="F8" i="2"/>
  <c r="G8" s="1"/>
  <c r="J8" s="1"/>
  <c r="K8" s="1"/>
  <c r="M8"/>
  <c r="V7" i="5"/>
  <c r="W7" s="1"/>
  <c r="Z7" s="1"/>
  <c r="AA7" s="1"/>
  <c r="X7"/>
  <c r="Y7" s="1"/>
  <c r="T7"/>
  <c r="R7" i="1"/>
  <c r="S7" s="1"/>
  <c r="Z7"/>
  <c r="AA7" s="1"/>
  <c r="F9" i="5"/>
  <c r="G9" s="1"/>
  <c r="J7" i="8"/>
  <c r="K7" s="1"/>
  <c r="R7" s="1"/>
  <c r="S7" s="1"/>
  <c r="P7"/>
  <c r="Q7" s="1"/>
  <c r="F8"/>
  <c r="G8" s="1"/>
  <c r="AF8" i="6"/>
  <c r="AD5"/>
  <c r="AC5"/>
  <c r="AG5"/>
  <c r="AH5"/>
  <c r="F9" i="7"/>
  <c r="G9" s="1"/>
  <c r="AC6" i="4"/>
  <c r="AD6"/>
  <c r="H7" i="8"/>
  <c r="I7" s="1"/>
  <c r="U7" s="1"/>
  <c r="V6" i="6"/>
  <c r="W6" s="1"/>
  <c r="Z6" s="1"/>
  <c r="AA6" s="1"/>
  <c r="T6"/>
  <c r="X6"/>
  <c r="Y6" s="1"/>
  <c r="V6" i="2"/>
  <c r="W6" s="1"/>
  <c r="Z6" s="1"/>
  <c r="AA6" s="1"/>
  <c r="T6"/>
  <c r="V8" i="1"/>
  <c r="W8" s="1"/>
  <c r="T8"/>
  <c r="F9"/>
  <c r="G9" s="1"/>
  <c r="J9" s="1"/>
  <c r="K9" s="1"/>
  <c r="B11"/>
  <c r="E10"/>
  <c r="C10"/>
  <c r="L10"/>
  <c r="D10"/>
  <c r="J8" i="3"/>
  <c r="K8" s="1"/>
  <c r="R8" s="1"/>
  <c r="S8" s="1"/>
  <c r="P8"/>
  <c r="Q8" s="1"/>
  <c r="P8" i="5"/>
  <c r="Q8" s="1"/>
  <c r="J8"/>
  <c r="K8" s="1"/>
  <c r="R8" s="1"/>
  <c r="S8" s="1"/>
  <c r="N8" i="4"/>
  <c r="P8"/>
  <c r="Q8" s="1"/>
  <c r="X8"/>
  <c r="Y8" s="1"/>
  <c r="O8"/>
  <c r="F9"/>
  <c r="G9" s="1"/>
  <c r="J9" s="1"/>
  <c r="K9" s="1"/>
  <c r="B11"/>
  <c r="C10"/>
  <c r="D10"/>
  <c r="L10"/>
  <c r="E10"/>
  <c r="L9" i="2"/>
  <c r="B10"/>
  <c r="E9"/>
  <c r="C9"/>
  <c r="D9"/>
  <c r="AC7" i="3"/>
  <c r="AD7"/>
  <c r="L10" i="5"/>
  <c r="D10"/>
  <c r="O10"/>
  <c r="B11"/>
  <c r="C10"/>
  <c r="E10"/>
  <c r="C9" i="8"/>
  <c r="E9"/>
  <c r="D9"/>
  <c r="L9"/>
  <c r="B10"/>
  <c r="O9"/>
  <c r="AF8"/>
  <c r="C9" i="6"/>
  <c r="L9"/>
  <c r="D9"/>
  <c r="B10"/>
  <c r="E9"/>
  <c r="O9"/>
  <c r="F8"/>
  <c r="G8" s="1"/>
  <c r="AD6" i="3"/>
  <c r="AC6"/>
  <c r="AD5" i="8"/>
  <c r="AC5"/>
  <c r="AH5"/>
  <c r="AG5"/>
  <c r="AF9" i="7"/>
  <c r="C10"/>
  <c r="B11"/>
  <c r="E10"/>
  <c r="L10"/>
  <c r="D10"/>
  <c r="O10"/>
  <c r="P8"/>
  <c r="Q8" s="1"/>
  <c r="J8"/>
  <c r="K8" s="1"/>
  <c r="R8" s="1"/>
  <c r="S8" s="1"/>
  <c r="Z7" i="4"/>
  <c r="AA7" s="1"/>
  <c r="R7"/>
  <c r="S7" s="1"/>
  <c r="N7" i="2"/>
  <c r="P7"/>
  <c r="Q7" s="1"/>
  <c r="O7"/>
  <c r="AC7" i="7"/>
  <c r="AD7"/>
  <c r="AC7" i="1"/>
  <c r="AD7"/>
  <c r="H7" i="6"/>
  <c r="I7" s="1"/>
  <c r="U7" s="1"/>
  <c r="H8" i="7"/>
  <c r="I8" s="1"/>
  <c r="U8" s="1"/>
  <c r="H7" i="2"/>
  <c r="I7" s="1"/>
  <c r="U7" s="1"/>
  <c r="X7" s="1"/>
  <c r="Y7" s="1"/>
  <c r="H9" i="5" l="1"/>
  <c r="I9" s="1"/>
  <c r="U9" s="1"/>
  <c r="H9" i="3"/>
  <c r="I9" s="1"/>
  <c r="U9" s="1"/>
  <c r="H8" i="6"/>
  <c r="I8" s="1"/>
  <c r="U8" s="1"/>
  <c r="T8" s="1"/>
  <c r="H9" i="1"/>
  <c r="I9" s="1"/>
  <c r="U9" s="1"/>
  <c r="H9" i="7"/>
  <c r="I9" s="1"/>
  <c r="U9" s="1"/>
  <c r="V9" i="1"/>
  <c r="W9" s="1"/>
  <c r="T9"/>
  <c r="V9" i="3"/>
  <c r="W9" s="1"/>
  <c r="Z9" s="1"/>
  <c r="AA9" s="1"/>
  <c r="X9"/>
  <c r="Y9" s="1"/>
  <c r="T9"/>
  <c r="F10" i="7"/>
  <c r="G10" s="1"/>
  <c r="P8" i="6"/>
  <c r="Q8" s="1"/>
  <c r="J8"/>
  <c r="K8" s="1"/>
  <c r="R8" s="1"/>
  <c r="S8" s="1"/>
  <c r="F9"/>
  <c r="G9" s="1"/>
  <c r="L10" i="8"/>
  <c r="O10"/>
  <c r="D10"/>
  <c r="B11"/>
  <c r="C10"/>
  <c r="E10"/>
  <c r="L10" i="2"/>
  <c r="B11"/>
  <c r="D10"/>
  <c r="C10"/>
  <c r="E10"/>
  <c r="F10" i="4"/>
  <c r="G10" s="1"/>
  <c r="J10" s="1"/>
  <c r="K10" s="1"/>
  <c r="B12"/>
  <c r="C11"/>
  <c r="E11"/>
  <c r="L11"/>
  <c r="D11"/>
  <c r="M10" i="1"/>
  <c r="F10"/>
  <c r="G10" s="1"/>
  <c r="J10" s="1"/>
  <c r="K10" s="1"/>
  <c r="AD8"/>
  <c r="AC8"/>
  <c r="AC6" i="2"/>
  <c r="AD6"/>
  <c r="T9" i="5"/>
  <c r="X9"/>
  <c r="Y9" s="1"/>
  <c r="V9"/>
  <c r="W9" s="1"/>
  <c r="Z9" s="1"/>
  <c r="AA9" s="1"/>
  <c r="J9" i="7"/>
  <c r="K9" s="1"/>
  <c r="R9" s="1"/>
  <c r="S9" s="1"/>
  <c r="P9"/>
  <c r="Q9" s="1"/>
  <c r="J8" i="8"/>
  <c r="K8" s="1"/>
  <c r="R8" s="1"/>
  <c r="S8" s="1"/>
  <c r="P8"/>
  <c r="Q8" s="1"/>
  <c r="N8" i="2"/>
  <c r="P8"/>
  <c r="Q8" s="1"/>
  <c r="O8"/>
  <c r="AC8" i="4"/>
  <c r="AD8"/>
  <c r="AD8" i="5"/>
  <c r="AC8"/>
  <c r="AC8" i="3"/>
  <c r="AD8"/>
  <c r="V8" i="7"/>
  <c r="W8" s="1"/>
  <c r="Z8" s="1"/>
  <c r="AA8" s="1"/>
  <c r="X8"/>
  <c r="Y8" s="1"/>
  <c r="T8"/>
  <c r="V7" i="2"/>
  <c r="W7" s="1"/>
  <c r="T7"/>
  <c r="T7" i="6"/>
  <c r="X7"/>
  <c r="Y7" s="1"/>
  <c r="V7"/>
  <c r="W7" s="1"/>
  <c r="Z7" s="1"/>
  <c r="AA7" s="1"/>
  <c r="R7" i="2"/>
  <c r="S7" s="1"/>
  <c r="Z7"/>
  <c r="AA7" s="1"/>
  <c r="AF10" i="7"/>
  <c r="L11"/>
  <c r="D11"/>
  <c r="O11"/>
  <c r="C11"/>
  <c r="B12"/>
  <c r="E11"/>
  <c r="T9"/>
  <c r="AG9" s="1"/>
  <c r="V9"/>
  <c r="W9" s="1"/>
  <c r="Z9" s="1"/>
  <c r="AA9" s="1"/>
  <c r="X9"/>
  <c r="Y9" s="1"/>
  <c r="B11" i="6"/>
  <c r="E10"/>
  <c r="O10"/>
  <c r="C10"/>
  <c r="L10"/>
  <c r="D10"/>
  <c r="AF9"/>
  <c r="AF9" i="8"/>
  <c r="F9"/>
  <c r="G9" s="1"/>
  <c r="F10" i="5"/>
  <c r="G10" s="1"/>
  <c r="C11"/>
  <c r="L11"/>
  <c r="D11"/>
  <c r="B12"/>
  <c r="E11"/>
  <c r="O11"/>
  <c r="F9" i="2"/>
  <c r="G9" s="1"/>
  <c r="J9" s="1"/>
  <c r="K9" s="1"/>
  <c r="M9"/>
  <c r="M10" i="4"/>
  <c r="R8"/>
  <c r="S8" s="1"/>
  <c r="Z8"/>
  <c r="AA8" s="1"/>
  <c r="B12" i="1"/>
  <c r="D11"/>
  <c r="C11"/>
  <c r="L11"/>
  <c r="E11"/>
  <c r="AD6" i="6"/>
  <c r="AC6"/>
  <c r="AG6"/>
  <c r="AH6"/>
  <c r="T7" i="8"/>
  <c r="X7"/>
  <c r="Y7" s="1"/>
  <c r="V7"/>
  <c r="W7" s="1"/>
  <c r="Z7" s="1"/>
  <c r="AA7" s="1"/>
  <c r="P9" i="5"/>
  <c r="Q9" s="1"/>
  <c r="J9"/>
  <c r="K9" s="1"/>
  <c r="R9" s="1"/>
  <c r="S9" s="1"/>
  <c r="AC7"/>
  <c r="AD7"/>
  <c r="N9" i="4"/>
  <c r="P9"/>
  <c r="Q9" s="1"/>
  <c r="O9"/>
  <c r="J9" i="3"/>
  <c r="K9" s="1"/>
  <c r="R9" s="1"/>
  <c r="S9" s="1"/>
  <c r="P9"/>
  <c r="Q9" s="1"/>
  <c r="F10"/>
  <c r="G10" s="1"/>
  <c r="B12"/>
  <c r="C11"/>
  <c r="D11"/>
  <c r="L11"/>
  <c r="E11"/>
  <c r="O11"/>
  <c r="O9" i="1"/>
  <c r="P9"/>
  <c r="Q9" s="1"/>
  <c r="X9"/>
  <c r="Y9" s="1"/>
  <c r="N9"/>
  <c r="Z8"/>
  <c r="AA8" s="1"/>
  <c r="R8"/>
  <c r="S8" s="1"/>
  <c r="AC6" i="8"/>
  <c r="AD6"/>
  <c r="AH6"/>
  <c r="AG6"/>
  <c r="H9" i="4"/>
  <c r="I9" s="1"/>
  <c r="U9" s="1"/>
  <c r="H8" i="8"/>
  <c r="I8" s="1"/>
  <c r="U8" s="1"/>
  <c r="H8" i="2"/>
  <c r="I8" s="1"/>
  <c r="U8" s="1"/>
  <c r="X8" i="6" l="1"/>
  <c r="Y8" s="1"/>
  <c r="AH8"/>
  <c r="AG8"/>
  <c r="V8"/>
  <c r="W8" s="1"/>
  <c r="Z8" s="1"/>
  <c r="AA8" s="1"/>
  <c r="H9" i="2"/>
  <c r="I9" s="1"/>
  <c r="U9" s="1"/>
  <c r="H10" i="3"/>
  <c r="I10" s="1"/>
  <c r="U10" s="1"/>
  <c r="H9" i="6"/>
  <c r="I9" s="1"/>
  <c r="U9" s="1"/>
  <c r="T10" i="3"/>
  <c r="V10"/>
  <c r="W10" s="1"/>
  <c r="Z10" s="1"/>
  <c r="AA10" s="1"/>
  <c r="X10"/>
  <c r="Y10" s="1"/>
  <c r="T8" i="2"/>
  <c r="V8"/>
  <c r="W8" s="1"/>
  <c r="V9" i="4"/>
  <c r="W9" s="1"/>
  <c r="T9"/>
  <c r="R9" i="1"/>
  <c r="S9" s="1"/>
  <c r="Z9"/>
  <c r="AA9" s="1"/>
  <c r="F11" i="3"/>
  <c r="G11" s="1"/>
  <c r="L12"/>
  <c r="E12"/>
  <c r="O12"/>
  <c r="B13"/>
  <c r="C12"/>
  <c r="D12"/>
  <c r="P10"/>
  <c r="Q10" s="1"/>
  <c r="J10"/>
  <c r="K10" s="1"/>
  <c r="R10" s="1"/>
  <c r="S10" s="1"/>
  <c r="R9" i="4"/>
  <c r="S9" s="1"/>
  <c r="Z9"/>
  <c r="AA9" s="1"/>
  <c r="F11" i="1"/>
  <c r="G11" s="1"/>
  <c r="J11" s="1"/>
  <c r="K11" s="1"/>
  <c r="B13"/>
  <c r="E12"/>
  <c r="C12"/>
  <c r="L12"/>
  <c r="D12"/>
  <c r="T9" i="2"/>
  <c r="V9"/>
  <c r="W9" s="1"/>
  <c r="F11" i="5"/>
  <c r="G11" s="1"/>
  <c r="P10"/>
  <c r="Q10" s="1"/>
  <c r="J10"/>
  <c r="K10" s="1"/>
  <c r="R10" s="1"/>
  <c r="S10" s="1"/>
  <c r="J9" i="8"/>
  <c r="K9" s="1"/>
  <c r="R9" s="1"/>
  <c r="S9" s="1"/>
  <c r="P9"/>
  <c r="Q9" s="1"/>
  <c r="AF10" i="6"/>
  <c r="L11"/>
  <c r="B12"/>
  <c r="D11"/>
  <c r="C11"/>
  <c r="E11"/>
  <c r="O11"/>
  <c r="F11" i="7"/>
  <c r="G11" s="1"/>
  <c r="AD7" i="6"/>
  <c r="AC7"/>
  <c r="AH7"/>
  <c r="AG7"/>
  <c r="Z8" i="2"/>
  <c r="AA8" s="1"/>
  <c r="R8"/>
  <c r="S8" s="1"/>
  <c r="AD9" i="5"/>
  <c r="AC9"/>
  <c r="O10" i="1"/>
  <c r="P10"/>
  <c r="Q10" s="1"/>
  <c r="N10"/>
  <c r="M11" i="4"/>
  <c r="F10" i="2"/>
  <c r="G10" s="1"/>
  <c r="J10" s="1"/>
  <c r="K10" s="1"/>
  <c r="M10"/>
  <c r="AF10" i="8"/>
  <c r="J9" i="6"/>
  <c r="K9" s="1"/>
  <c r="R9" s="1"/>
  <c r="S9" s="1"/>
  <c r="P9"/>
  <c r="Q9" s="1"/>
  <c r="J10" i="7"/>
  <c r="K10" s="1"/>
  <c r="R10" s="1"/>
  <c r="S10" s="1"/>
  <c r="P10"/>
  <c r="Q10" s="1"/>
  <c r="AD9" i="1"/>
  <c r="AC9"/>
  <c r="AC8" i="6"/>
  <c r="AD8"/>
  <c r="H10" i="1"/>
  <c r="I10" s="1"/>
  <c r="U10" s="1"/>
  <c r="X8" i="8"/>
  <c r="Y8" s="1"/>
  <c r="V8"/>
  <c r="W8" s="1"/>
  <c r="Z8" s="1"/>
  <c r="AA8" s="1"/>
  <c r="T8"/>
  <c r="AD7"/>
  <c r="AC7"/>
  <c r="AH7"/>
  <c r="AG7"/>
  <c r="M11" i="1"/>
  <c r="P10" i="4"/>
  <c r="Q10" s="1"/>
  <c r="O10"/>
  <c r="N10"/>
  <c r="N9" i="2"/>
  <c r="P9"/>
  <c r="Q9" s="1"/>
  <c r="X9"/>
  <c r="Y9" s="1"/>
  <c r="O9"/>
  <c r="L12" i="5"/>
  <c r="B13"/>
  <c r="D12"/>
  <c r="C12"/>
  <c r="E12"/>
  <c r="O12"/>
  <c r="T9" i="6"/>
  <c r="X9"/>
  <c r="Y9" s="1"/>
  <c r="V9"/>
  <c r="W9" s="1"/>
  <c r="Z9" s="1"/>
  <c r="AA9" s="1"/>
  <c r="F10"/>
  <c r="G10" s="1"/>
  <c r="AC9" i="7"/>
  <c r="AD9"/>
  <c r="C12"/>
  <c r="D12"/>
  <c r="O12"/>
  <c r="L12"/>
  <c r="B13"/>
  <c r="E12"/>
  <c r="AF11"/>
  <c r="AD7" i="2"/>
  <c r="AC7"/>
  <c r="AD8" i="7"/>
  <c r="AC8"/>
  <c r="AG8"/>
  <c r="AH8"/>
  <c r="F11" i="4"/>
  <c r="G11" s="1"/>
  <c r="J11" s="1"/>
  <c r="K11" s="1"/>
  <c r="L12"/>
  <c r="D12"/>
  <c r="B13"/>
  <c r="C12"/>
  <c r="E12"/>
  <c r="C11" i="2"/>
  <c r="E11"/>
  <c r="L11"/>
  <c r="B12"/>
  <c r="D11"/>
  <c r="F10" i="8"/>
  <c r="G10" s="1"/>
  <c r="L11"/>
  <c r="D11"/>
  <c r="O11"/>
  <c r="B12"/>
  <c r="C11"/>
  <c r="E11"/>
  <c r="AD9" i="3"/>
  <c r="AC9"/>
  <c r="X9" i="4"/>
  <c r="Y9" s="1"/>
  <c r="H10" i="5"/>
  <c r="I10" s="1"/>
  <c r="U10" s="1"/>
  <c r="H9" i="8"/>
  <c r="I9" s="1"/>
  <c r="U9" s="1"/>
  <c r="X8" i="2"/>
  <c r="Y8" s="1"/>
  <c r="H10" i="4"/>
  <c r="I10" s="1"/>
  <c r="U10" s="1"/>
  <c r="AH9" i="7"/>
  <c r="H10"/>
  <c r="I10" s="1"/>
  <c r="U10" s="1"/>
  <c r="H11" i="4" l="1"/>
  <c r="I11" s="1"/>
  <c r="U11" s="1"/>
  <c r="T11" s="1"/>
  <c r="H11" i="7"/>
  <c r="I11" s="1"/>
  <c r="U11" s="1"/>
  <c r="V11" i="4"/>
  <c r="W11" s="1"/>
  <c r="T10" i="5"/>
  <c r="X10"/>
  <c r="Y10" s="1"/>
  <c r="V10"/>
  <c r="W10" s="1"/>
  <c r="Z10" s="1"/>
  <c r="AA10" s="1"/>
  <c r="F11" i="8"/>
  <c r="G11" s="1"/>
  <c r="B13"/>
  <c r="E12"/>
  <c r="D12"/>
  <c r="C12"/>
  <c r="L12"/>
  <c r="O12"/>
  <c r="J10"/>
  <c r="K10" s="1"/>
  <c r="R10" s="1"/>
  <c r="S10" s="1"/>
  <c r="P10"/>
  <c r="Q10" s="1"/>
  <c r="M11" i="2"/>
  <c r="T11" i="7"/>
  <c r="V11"/>
  <c r="W11" s="1"/>
  <c r="Z11" s="1"/>
  <c r="AA11" s="1"/>
  <c r="X11"/>
  <c r="Y11" s="1"/>
  <c r="F12"/>
  <c r="G12" s="1"/>
  <c r="AF12"/>
  <c r="P10" i="6"/>
  <c r="Q10" s="1"/>
  <c r="J10"/>
  <c r="K10" s="1"/>
  <c r="R10" s="1"/>
  <c r="S10" s="1"/>
  <c r="AD9"/>
  <c r="AC9"/>
  <c r="F12" i="5"/>
  <c r="G12" s="1"/>
  <c r="R10" i="4"/>
  <c r="S10" s="1"/>
  <c r="N11" i="1"/>
  <c r="O11"/>
  <c r="P11"/>
  <c r="Q11" s="1"/>
  <c r="V10"/>
  <c r="W10" s="1"/>
  <c r="T10"/>
  <c r="N10" i="2"/>
  <c r="P10"/>
  <c r="Q10" s="1"/>
  <c r="O10"/>
  <c r="N11" i="4"/>
  <c r="X11"/>
  <c r="Y11" s="1"/>
  <c r="P11"/>
  <c r="Q11" s="1"/>
  <c r="O11"/>
  <c r="R10" i="1"/>
  <c r="S10" s="1"/>
  <c r="Z10"/>
  <c r="AA10" s="1"/>
  <c r="F11" i="6"/>
  <c r="G11" s="1"/>
  <c r="AF11"/>
  <c r="P11" i="5"/>
  <c r="Q11" s="1"/>
  <c r="J11"/>
  <c r="K11" s="1"/>
  <c r="R11" s="1"/>
  <c r="S11" s="1"/>
  <c r="AD9" i="2"/>
  <c r="AC9"/>
  <c r="M12" i="1"/>
  <c r="F12"/>
  <c r="G12" s="1"/>
  <c r="J12" s="1"/>
  <c r="K12" s="1"/>
  <c r="B14" i="3"/>
  <c r="D13"/>
  <c r="E13"/>
  <c r="L13"/>
  <c r="C13"/>
  <c r="O13"/>
  <c r="F12"/>
  <c r="G12" s="1"/>
  <c r="AD9" i="4"/>
  <c r="AC9"/>
  <c r="AC10" i="3"/>
  <c r="AD10"/>
  <c r="X10" i="1"/>
  <c r="Y10" s="1"/>
  <c r="AH9" i="6"/>
  <c r="T10" i="7"/>
  <c r="V10"/>
  <c r="W10" s="1"/>
  <c r="Z10" s="1"/>
  <c r="AA10" s="1"/>
  <c r="X10"/>
  <c r="Y10" s="1"/>
  <c r="V10" i="4"/>
  <c r="W10" s="1"/>
  <c r="Z10" s="1"/>
  <c r="AA10" s="1"/>
  <c r="T10"/>
  <c r="X9" i="8"/>
  <c r="Y9" s="1"/>
  <c r="T9"/>
  <c r="V9"/>
  <c r="W9" s="1"/>
  <c r="Z9" s="1"/>
  <c r="AA9" s="1"/>
  <c r="AF11"/>
  <c r="L12" i="2"/>
  <c r="B13"/>
  <c r="E12"/>
  <c r="C12"/>
  <c r="D12"/>
  <c r="F11"/>
  <c r="G11" s="1"/>
  <c r="J11" s="1"/>
  <c r="K11" s="1"/>
  <c r="F12" i="4"/>
  <c r="G12" s="1"/>
  <c r="J12" s="1"/>
  <c r="K12" s="1"/>
  <c r="L13"/>
  <c r="E13"/>
  <c r="B14"/>
  <c r="C13"/>
  <c r="D13"/>
  <c r="M12"/>
  <c r="AG11" i="7"/>
  <c r="AH11"/>
  <c r="C13"/>
  <c r="E13"/>
  <c r="O13"/>
  <c r="B14"/>
  <c r="L13"/>
  <c r="D13"/>
  <c r="B14" i="5"/>
  <c r="E13"/>
  <c r="O13"/>
  <c r="C13"/>
  <c r="L13"/>
  <c r="D13"/>
  <c r="Z9" i="2"/>
  <c r="AA9" s="1"/>
  <c r="R9"/>
  <c r="S9" s="1"/>
  <c r="AD8" i="8"/>
  <c r="AC8"/>
  <c r="AH8"/>
  <c r="AG8"/>
  <c r="J11" i="7"/>
  <c r="K11" s="1"/>
  <c r="R11" s="1"/>
  <c r="S11" s="1"/>
  <c r="P11"/>
  <c r="Q11" s="1"/>
  <c r="L12" i="6"/>
  <c r="E12"/>
  <c r="O12"/>
  <c r="B13"/>
  <c r="C12"/>
  <c r="D12"/>
  <c r="B14" i="1"/>
  <c r="D13"/>
  <c r="C13"/>
  <c r="L13"/>
  <c r="E13"/>
  <c r="P11" i="3"/>
  <c r="Q11" s="1"/>
  <c r="J11"/>
  <c r="K11" s="1"/>
  <c r="R11" s="1"/>
  <c r="S11" s="1"/>
  <c r="AD8" i="2"/>
  <c r="AC8"/>
  <c r="H10" i="8"/>
  <c r="I10" s="1"/>
  <c r="U10" s="1"/>
  <c r="H10" i="6"/>
  <c r="I10" s="1"/>
  <c r="U10" s="1"/>
  <c r="X10" i="4"/>
  <c r="Y10" s="1"/>
  <c r="H10" i="2"/>
  <c r="I10" s="1"/>
  <c r="U10" s="1"/>
  <c r="AG9" i="6"/>
  <c r="H11" i="5"/>
  <c r="I11" s="1"/>
  <c r="U11" s="1"/>
  <c r="H11" i="1"/>
  <c r="I11" s="1"/>
  <c r="U11" s="1"/>
  <c r="X11" s="1"/>
  <c r="Y11" s="1"/>
  <c r="H11" i="3"/>
  <c r="I11" s="1"/>
  <c r="U11" s="1"/>
  <c r="H12" l="1"/>
  <c r="I12" s="1"/>
  <c r="U12" s="1"/>
  <c r="H12" i="4"/>
  <c r="I12" s="1"/>
  <c r="U12" s="1"/>
  <c r="H11" i="2"/>
  <c r="I11" s="1"/>
  <c r="U11" s="1"/>
  <c r="H12" i="7"/>
  <c r="I12" s="1"/>
  <c r="U12" s="1"/>
  <c r="H11" i="8"/>
  <c r="I11" s="1"/>
  <c r="U11" s="1"/>
  <c r="H11" i="6"/>
  <c r="I11" s="1"/>
  <c r="U11" s="1"/>
  <c r="V11" i="2"/>
  <c r="W11" s="1"/>
  <c r="T11"/>
  <c r="T12" i="7"/>
  <c r="X12"/>
  <c r="Y12" s="1"/>
  <c r="V12"/>
  <c r="W12" s="1"/>
  <c r="Z12" s="1"/>
  <c r="AA12" s="1"/>
  <c r="V11" i="3"/>
  <c r="W11" s="1"/>
  <c r="Z11" s="1"/>
  <c r="AA11" s="1"/>
  <c r="X11"/>
  <c r="Y11" s="1"/>
  <c r="T11"/>
  <c r="M13" i="1"/>
  <c r="B14" i="6"/>
  <c r="C13"/>
  <c r="E13"/>
  <c r="L13"/>
  <c r="D13"/>
  <c r="O13"/>
  <c r="F12"/>
  <c r="G12" s="1"/>
  <c r="F13" i="5"/>
  <c r="G13" s="1"/>
  <c r="B15" i="7"/>
  <c r="E14"/>
  <c r="O14"/>
  <c r="L14"/>
  <c r="C14"/>
  <c r="D14"/>
  <c r="F13"/>
  <c r="G13" s="1"/>
  <c r="T12" i="4"/>
  <c r="V12"/>
  <c r="W12" s="1"/>
  <c r="L14"/>
  <c r="D14"/>
  <c r="B15"/>
  <c r="C14"/>
  <c r="E14"/>
  <c r="M13"/>
  <c r="L13" i="2"/>
  <c r="B14"/>
  <c r="E13"/>
  <c r="C13"/>
  <c r="D13"/>
  <c r="T11" i="8"/>
  <c r="V11"/>
  <c r="W11" s="1"/>
  <c r="Z11" s="1"/>
  <c r="AA11" s="1"/>
  <c r="X11"/>
  <c r="Y11" s="1"/>
  <c r="J12" i="3"/>
  <c r="K12" s="1"/>
  <c r="R12" s="1"/>
  <c r="S12" s="1"/>
  <c r="P12"/>
  <c r="Q12" s="1"/>
  <c r="F13"/>
  <c r="G13" s="1"/>
  <c r="B15"/>
  <c r="O14"/>
  <c r="D14"/>
  <c r="L14"/>
  <c r="C14"/>
  <c r="E14"/>
  <c r="P11" i="6"/>
  <c r="Q11" s="1"/>
  <c r="J11"/>
  <c r="K11" s="1"/>
  <c r="R11" s="1"/>
  <c r="S11" s="1"/>
  <c r="AH12" i="7"/>
  <c r="AG12"/>
  <c r="J12"/>
  <c r="K12" s="1"/>
  <c r="R12" s="1"/>
  <c r="S12" s="1"/>
  <c r="P12"/>
  <c r="Q12" s="1"/>
  <c r="F12" i="8"/>
  <c r="G12" s="1"/>
  <c r="AD10" i="5"/>
  <c r="AC10"/>
  <c r="H12" i="1"/>
  <c r="I12" s="1"/>
  <c r="U12" s="1"/>
  <c r="H12" i="5"/>
  <c r="I12" s="1"/>
  <c r="U12" s="1"/>
  <c r="V11" i="1"/>
  <c r="W11" s="1"/>
  <c r="T11"/>
  <c r="V10" i="8"/>
  <c r="W10" s="1"/>
  <c r="Z10" s="1"/>
  <c r="AA10" s="1"/>
  <c r="T10"/>
  <c r="X10"/>
  <c r="Y10" s="1"/>
  <c r="T12" i="3"/>
  <c r="V12"/>
  <c r="W12" s="1"/>
  <c r="Z12" s="1"/>
  <c r="AA12" s="1"/>
  <c r="X12"/>
  <c r="Y12" s="1"/>
  <c r="X11" i="5"/>
  <c r="Y11" s="1"/>
  <c r="V11"/>
  <c r="W11" s="1"/>
  <c r="Z11" s="1"/>
  <c r="AA11" s="1"/>
  <c r="T11"/>
  <c r="V10" i="2"/>
  <c r="W10" s="1"/>
  <c r="T10"/>
  <c r="V10" i="6"/>
  <c r="W10" s="1"/>
  <c r="Z10" s="1"/>
  <c r="AA10" s="1"/>
  <c r="T10"/>
  <c r="X10"/>
  <c r="Y10" s="1"/>
  <c r="F13" i="1"/>
  <c r="G13" s="1"/>
  <c r="J13" s="1"/>
  <c r="K13" s="1"/>
  <c r="B15"/>
  <c r="D14"/>
  <c r="C14"/>
  <c r="L14"/>
  <c r="E14"/>
  <c r="AF12" i="6"/>
  <c r="B15" i="5"/>
  <c r="D14"/>
  <c r="O14"/>
  <c r="C14"/>
  <c r="L14"/>
  <c r="E14"/>
  <c r="AF13" i="7"/>
  <c r="N12" i="4"/>
  <c r="X12"/>
  <c r="Y12" s="1"/>
  <c r="P12"/>
  <c r="Q12" s="1"/>
  <c r="O12"/>
  <c r="F13"/>
  <c r="G13" s="1"/>
  <c r="J13" s="1"/>
  <c r="K13" s="1"/>
  <c r="F12" i="2"/>
  <c r="G12" s="1"/>
  <c r="J12" s="1"/>
  <c r="K12" s="1"/>
  <c r="M12"/>
  <c r="AH11" i="8"/>
  <c r="AG11"/>
  <c r="AC9"/>
  <c r="AD9"/>
  <c r="AH9"/>
  <c r="AG9"/>
  <c r="AD10" i="4"/>
  <c r="AC10"/>
  <c r="AC10" i="7"/>
  <c r="AD10"/>
  <c r="AG10"/>
  <c r="AH10"/>
  <c r="N12" i="1"/>
  <c r="O12"/>
  <c r="P12"/>
  <c r="Q12" s="1"/>
  <c r="X12"/>
  <c r="Y12" s="1"/>
  <c r="T11" i="6"/>
  <c r="AH11" s="1"/>
  <c r="X11"/>
  <c r="Y11" s="1"/>
  <c r="V11"/>
  <c r="W11" s="1"/>
  <c r="Z11" s="1"/>
  <c r="AA11" s="1"/>
  <c r="R11" i="4"/>
  <c r="S11" s="1"/>
  <c r="Z11"/>
  <c r="AA11" s="1"/>
  <c r="Z10" i="2"/>
  <c r="AA10" s="1"/>
  <c r="R10"/>
  <c r="S10" s="1"/>
  <c r="AC10" i="1"/>
  <c r="AD10"/>
  <c r="R11"/>
  <c r="S11" s="1"/>
  <c r="Z11"/>
  <c r="AA11" s="1"/>
  <c r="P12" i="5"/>
  <c r="Q12" s="1"/>
  <c r="J12"/>
  <c r="K12" s="1"/>
  <c r="R12" s="1"/>
  <c r="S12" s="1"/>
  <c r="AD11" i="7"/>
  <c r="AC11"/>
  <c r="N11" i="2"/>
  <c r="P11"/>
  <c r="Q11" s="1"/>
  <c r="X11"/>
  <c r="Y11" s="1"/>
  <c r="O11"/>
  <c r="AF12" i="8"/>
  <c r="C13"/>
  <c r="D13"/>
  <c r="O13"/>
  <c r="L13"/>
  <c r="B14"/>
  <c r="E13"/>
  <c r="P11"/>
  <c r="Q11" s="1"/>
  <c r="J11"/>
  <c r="K11" s="1"/>
  <c r="R11" s="1"/>
  <c r="S11" s="1"/>
  <c r="AC11" i="4"/>
  <c r="AD11"/>
  <c r="X10" i="2"/>
  <c r="Y10" s="1"/>
  <c r="H12" i="8" l="1"/>
  <c r="I12" s="1"/>
  <c r="U12" s="1"/>
  <c r="H13" i="1"/>
  <c r="I13" s="1"/>
  <c r="U13" s="1"/>
  <c r="H13" i="3"/>
  <c r="I13" s="1"/>
  <c r="U13" s="1"/>
  <c r="H13" i="7"/>
  <c r="I13" s="1"/>
  <c r="U13" s="1"/>
  <c r="H12" i="2"/>
  <c r="I12" s="1"/>
  <c r="U12" s="1"/>
  <c r="H12" i="6"/>
  <c r="I12" s="1"/>
  <c r="U12" s="1"/>
  <c r="V13" i="1"/>
  <c r="W13" s="1"/>
  <c r="T13"/>
  <c r="B15" i="8"/>
  <c r="C14"/>
  <c r="O14"/>
  <c r="L14"/>
  <c r="E14"/>
  <c r="D14"/>
  <c r="R12" i="1"/>
  <c r="S12" s="1"/>
  <c r="N12" i="2"/>
  <c r="P12"/>
  <c r="Q12" s="1"/>
  <c r="O12"/>
  <c r="X12"/>
  <c r="Y12" s="1"/>
  <c r="C15" i="5"/>
  <c r="L15"/>
  <c r="E15"/>
  <c r="B16"/>
  <c r="D15"/>
  <c r="O15"/>
  <c r="M14" i="1"/>
  <c r="AD12" i="3"/>
  <c r="AC12"/>
  <c r="AC10" i="8"/>
  <c r="AD10"/>
  <c r="AH10"/>
  <c r="AG10"/>
  <c r="AC11" i="1"/>
  <c r="AD11"/>
  <c r="T12" i="5"/>
  <c r="V12"/>
  <c r="W12" s="1"/>
  <c r="Z12" s="1"/>
  <c r="AA12" s="1"/>
  <c r="X12"/>
  <c r="Y12" s="1"/>
  <c r="P12" i="8"/>
  <c r="Q12" s="1"/>
  <c r="J12"/>
  <c r="K12" s="1"/>
  <c r="R12" s="1"/>
  <c r="S12" s="1"/>
  <c r="F14" i="3"/>
  <c r="G14" s="1"/>
  <c r="AD11" i="8"/>
  <c r="AC11"/>
  <c r="L14" i="2"/>
  <c r="B15"/>
  <c r="D14"/>
  <c r="C14"/>
  <c r="E14"/>
  <c r="P13" i="4"/>
  <c r="Q13" s="1"/>
  <c r="O13"/>
  <c r="N13"/>
  <c r="F14"/>
  <c r="G14" s="1"/>
  <c r="J14" s="1"/>
  <c r="K14" s="1"/>
  <c r="B16"/>
  <c r="C15"/>
  <c r="E15"/>
  <c r="L15"/>
  <c r="D15"/>
  <c r="M14"/>
  <c r="AC12"/>
  <c r="AD12"/>
  <c r="J13" i="7"/>
  <c r="K13" s="1"/>
  <c r="R13" s="1"/>
  <c r="S13" s="1"/>
  <c r="P13"/>
  <c r="Q13" s="1"/>
  <c r="L15"/>
  <c r="D15"/>
  <c r="O15"/>
  <c r="C15"/>
  <c r="B16"/>
  <c r="E15"/>
  <c r="P13" i="5"/>
  <c r="Q13" s="1"/>
  <c r="J13"/>
  <c r="K13" s="1"/>
  <c r="R13" s="1"/>
  <c r="S13" s="1"/>
  <c r="J12" i="6"/>
  <c r="K12" s="1"/>
  <c r="R12" s="1"/>
  <c r="S12" s="1"/>
  <c r="P12"/>
  <c r="Q12" s="1"/>
  <c r="F13"/>
  <c r="G13" s="1"/>
  <c r="B15"/>
  <c r="E14"/>
  <c r="O14"/>
  <c r="C14"/>
  <c r="L14"/>
  <c r="D14"/>
  <c r="O13" i="1"/>
  <c r="P13"/>
  <c r="Q13" s="1"/>
  <c r="X13"/>
  <c r="Y13" s="1"/>
  <c r="N13"/>
  <c r="AD12" i="7"/>
  <c r="AC12"/>
  <c r="H13" i="4"/>
  <c r="I13" s="1"/>
  <c r="U13" s="1"/>
  <c r="F13" i="8"/>
  <c r="G13" s="1"/>
  <c r="AF13"/>
  <c r="T12"/>
  <c r="AG12" s="1"/>
  <c r="V12"/>
  <c r="W12" s="1"/>
  <c r="Z12" s="1"/>
  <c r="AA12" s="1"/>
  <c r="X12"/>
  <c r="Y12" s="1"/>
  <c r="R11" i="2"/>
  <c r="S11" s="1"/>
  <c r="Z11"/>
  <c r="AA11" s="1"/>
  <c r="AD11" i="6"/>
  <c r="AC11"/>
  <c r="V12" i="2"/>
  <c r="W12" s="1"/>
  <c r="T12"/>
  <c r="R12" i="4"/>
  <c r="S12" s="1"/>
  <c r="Z12"/>
  <c r="AA12" s="1"/>
  <c r="T13" i="7"/>
  <c r="V13"/>
  <c r="W13" s="1"/>
  <c r="Z13" s="1"/>
  <c r="AA13" s="1"/>
  <c r="X13"/>
  <c r="Y13" s="1"/>
  <c r="F14" i="5"/>
  <c r="G14" s="1"/>
  <c r="T12" i="6"/>
  <c r="AH12" s="1"/>
  <c r="X12"/>
  <c r="Y12" s="1"/>
  <c r="V12"/>
  <c r="W12" s="1"/>
  <c r="Z12" s="1"/>
  <c r="AA12" s="1"/>
  <c r="F14" i="1"/>
  <c r="G14" s="1"/>
  <c r="J14" s="1"/>
  <c r="K14" s="1"/>
  <c r="C15"/>
  <c r="L15"/>
  <c r="D15"/>
  <c r="B16"/>
  <c r="E15"/>
  <c r="AC10" i="6"/>
  <c r="AD10"/>
  <c r="AH10"/>
  <c r="AG10"/>
  <c r="AC10" i="2"/>
  <c r="AD10"/>
  <c r="AD11" i="5"/>
  <c r="AC11"/>
  <c r="V12" i="1"/>
  <c r="W12" s="1"/>
  <c r="Z12" s="1"/>
  <c r="AA12" s="1"/>
  <c r="T12"/>
  <c r="B16" i="3"/>
  <c r="E15"/>
  <c r="O15"/>
  <c r="L15"/>
  <c r="C15"/>
  <c r="D15"/>
  <c r="P13"/>
  <c r="Q13" s="1"/>
  <c r="J13"/>
  <c r="K13" s="1"/>
  <c r="R13" s="1"/>
  <c r="S13" s="1"/>
  <c r="F13" i="2"/>
  <c r="G13" s="1"/>
  <c r="J13" s="1"/>
  <c r="K13" s="1"/>
  <c r="M13"/>
  <c r="AF14" i="7"/>
  <c r="F14"/>
  <c r="G14" s="1"/>
  <c r="AF13" i="6"/>
  <c r="AD11" i="3"/>
  <c r="AC11"/>
  <c r="AD11" i="2"/>
  <c r="AC11"/>
  <c r="AG11" i="6"/>
  <c r="H13" i="5"/>
  <c r="I13" s="1"/>
  <c r="U13" s="1"/>
  <c r="T13" i="3" l="1"/>
  <c r="V13"/>
  <c r="W13" s="1"/>
  <c r="Z13" s="1"/>
  <c r="AA13" s="1"/>
  <c r="X13"/>
  <c r="Y13" s="1"/>
  <c r="H14" i="7"/>
  <c r="I14" s="1"/>
  <c r="U14" s="1"/>
  <c r="H13" i="8"/>
  <c r="I13" s="1"/>
  <c r="U13" s="1"/>
  <c r="X13" s="1"/>
  <c r="Y13" s="1"/>
  <c r="H14" i="4"/>
  <c r="I14" s="1"/>
  <c r="U14" s="1"/>
  <c r="H14" i="1"/>
  <c r="I14" s="1"/>
  <c r="U14" s="1"/>
  <c r="T14" s="1"/>
  <c r="T13" i="8"/>
  <c r="V14" i="1"/>
  <c r="W14" s="1"/>
  <c r="V13" i="5"/>
  <c r="W13" s="1"/>
  <c r="Z13" s="1"/>
  <c r="AA13" s="1"/>
  <c r="X13"/>
  <c r="Y13" s="1"/>
  <c r="T13"/>
  <c r="V14" i="7"/>
  <c r="W14" s="1"/>
  <c r="Z14" s="1"/>
  <c r="AA14" s="1"/>
  <c r="T14"/>
  <c r="X14"/>
  <c r="Y14" s="1"/>
  <c r="N13" i="2"/>
  <c r="P13"/>
  <c r="Q13" s="1"/>
  <c r="O13"/>
  <c r="F15" i="3"/>
  <c r="G15" s="1"/>
  <c r="AC12" i="1"/>
  <c r="AD12"/>
  <c r="F15"/>
  <c r="G15" s="1"/>
  <c r="J15" s="1"/>
  <c r="K15" s="1"/>
  <c r="AD13" i="7"/>
  <c r="AC13"/>
  <c r="V13" i="4"/>
  <c r="W13" s="1"/>
  <c r="T13"/>
  <c r="R13" i="1"/>
  <c r="S13" s="1"/>
  <c r="Z13"/>
  <c r="AA13" s="1"/>
  <c r="AF14" i="6"/>
  <c r="L15"/>
  <c r="B16"/>
  <c r="E15"/>
  <c r="C15"/>
  <c r="D15"/>
  <c r="O15"/>
  <c r="C16" i="7"/>
  <c r="D16"/>
  <c r="O16"/>
  <c r="L16"/>
  <c r="B17"/>
  <c r="E16"/>
  <c r="AF15"/>
  <c r="P14" i="4"/>
  <c r="Q14" s="1"/>
  <c r="O14"/>
  <c r="X14"/>
  <c r="Y14" s="1"/>
  <c r="N14"/>
  <c r="M15"/>
  <c r="F14" i="2"/>
  <c r="G14" s="1"/>
  <c r="J14" s="1"/>
  <c r="K14" s="1"/>
  <c r="M14"/>
  <c r="AD12" i="5"/>
  <c r="AC12"/>
  <c r="N14" i="1"/>
  <c r="O14"/>
  <c r="P14"/>
  <c r="Q14" s="1"/>
  <c r="F15" i="5"/>
  <c r="G15" s="1"/>
  <c r="Z12" i="2"/>
  <c r="AA12" s="1"/>
  <c r="R12"/>
  <c r="S12" s="1"/>
  <c r="F14" i="8"/>
  <c r="G14" s="1"/>
  <c r="B16"/>
  <c r="C15"/>
  <c r="O15"/>
  <c r="L15"/>
  <c r="E15"/>
  <c r="D15"/>
  <c r="H13" i="6"/>
  <c r="I13" s="1"/>
  <c r="U13" s="1"/>
  <c r="X13" i="4"/>
  <c r="Y13" s="1"/>
  <c r="H14" i="3"/>
  <c r="I14" s="1"/>
  <c r="U14" s="1"/>
  <c r="AG13" i="7"/>
  <c r="P14"/>
  <c r="Q14" s="1"/>
  <c r="J14"/>
  <c r="K14" s="1"/>
  <c r="R14" s="1"/>
  <c r="S14" s="1"/>
  <c r="AG14"/>
  <c r="AH14"/>
  <c r="B17" i="3"/>
  <c r="E16"/>
  <c r="O16"/>
  <c r="L16"/>
  <c r="C16"/>
  <c r="D16"/>
  <c r="C16" i="1"/>
  <c r="L16"/>
  <c r="D16"/>
  <c r="B17"/>
  <c r="E16"/>
  <c r="M15"/>
  <c r="AD12" i="6"/>
  <c r="AC12"/>
  <c r="J14" i="5"/>
  <c r="K14" s="1"/>
  <c r="R14" s="1"/>
  <c r="S14" s="1"/>
  <c r="P14"/>
  <c r="Q14" s="1"/>
  <c r="AD12" i="2"/>
  <c r="AC12"/>
  <c r="AD12" i="8"/>
  <c r="AC12"/>
  <c r="AH13"/>
  <c r="AG13"/>
  <c r="J13"/>
  <c r="K13" s="1"/>
  <c r="R13" s="1"/>
  <c r="S13" s="1"/>
  <c r="P13"/>
  <c r="Q13" s="1"/>
  <c r="F14" i="6"/>
  <c r="G14" s="1"/>
  <c r="J13"/>
  <c r="K13" s="1"/>
  <c r="R13" s="1"/>
  <c r="S13" s="1"/>
  <c r="P13"/>
  <c r="Q13" s="1"/>
  <c r="F15" i="7"/>
  <c r="G15" s="1"/>
  <c r="V14" i="4"/>
  <c r="W14" s="1"/>
  <c r="T14"/>
  <c r="F15"/>
  <c r="G15" s="1"/>
  <c r="J15" s="1"/>
  <c r="K15" s="1"/>
  <c r="B17"/>
  <c r="C16"/>
  <c r="E16"/>
  <c r="L16"/>
  <c r="D16"/>
  <c r="R13"/>
  <c r="S13" s="1"/>
  <c r="Z13"/>
  <c r="AA13" s="1"/>
  <c r="C15" i="2"/>
  <c r="E15"/>
  <c r="L15"/>
  <c r="B16"/>
  <c r="D15"/>
  <c r="P14" i="3"/>
  <c r="Q14" s="1"/>
  <c r="J14"/>
  <c r="K14" s="1"/>
  <c r="R14" s="1"/>
  <c r="S14" s="1"/>
  <c r="C16" i="5"/>
  <c r="E16"/>
  <c r="O16"/>
  <c r="L16"/>
  <c r="B17"/>
  <c r="D16"/>
  <c r="AF14" i="8"/>
  <c r="AC13" i="1"/>
  <c r="AD13"/>
  <c r="H13" i="2"/>
  <c r="I13" s="1"/>
  <c r="U13" s="1"/>
  <c r="H14" i="5"/>
  <c r="I14" s="1"/>
  <c r="U14" s="1"/>
  <c r="AG12" i="6"/>
  <c r="AH13" i="7"/>
  <c r="AH12" i="8"/>
  <c r="X14" i="3" l="1"/>
  <c r="Y14" s="1"/>
  <c r="T14"/>
  <c r="V14"/>
  <c r="W14" s="1"/>
  <c r="Z14" s="1"/>
  <c r="AA14" s="1"/>
  <c r="X14" i="1"/>
  <c r="Y14" s="1"/>
  <c r="V13" i="8"/>
  <c r="W13" s="1"/>
  <c r="Z13" s="1"/>
  <c r="AA13" s="1"/>
  <c r="AC13" i="3"/>
  <c r="AD13"/>
  <c r="H15" i="7"/>
  <c r="I15" s="1"/>
  <c r="U15" s="1"/>
  <c r="X15" s="1"/>
  <c r="Y15" s="1"/>
  <c r="H15" i="1"/>
  <c r="I15" s="1"/>
  <c r="U15" s="1"/>
  <c r="V15" i="7"/>
  <c r="W15" s="1"/>
  <c r="Z15" s="1"/>
  <c r="AA15" s="1"/>
  <c r="T13" i="2"/>
  <c r="V13"/>
  <c r="W13" s="1"/>
  <c r="L17" i="5"/>
  <c r="B18"/>
  <c r="D17"/>
  <c r="C17"/>
  <c r="E17"/>
  <c r="O17"/>
  <c r="L16" i="2"/>
  <c r="B17"/>
  <c r="E16"/>
  <c r="C16"/>
  <c r="D16"/>
  <c r="F15"/>
  <c r="G15" s="1"/>
  <c r="J15" s="1"/>
  <c r="K15" s="1"/>
  <c r="F16" i="4"/>
  <c r="G16" s="1"/>
  <c r="J16" s="1"/>
  <c r="K16" s="1"/>
  <c r="B18"/>
  <c r="C17"/>
  <c r="D17"/>
  <c r="L17"/>
  <c r="E17"/>
  <c r="P14" i="6"/>
  <c r="Q14" s="1"/>
  <c r="J14"/>
  <c r="K14" s="1"/>
  <c r="R14" s="1"/>
  <c r="S14" s="1"/>
  <c r="V15" i="1"/>
  <c r="W15" s="1"/>
  <c r="T15"/>
  <c r="B18"/>
  <c r="D17"/>
  <c r="C17"/>
  <c r="L17"/>
  <c r="E17"/>
  <c r="M16"/>
  <c r="F16" i="3"/>
  <c r="G16" s="1"/>
  <c r="T13" i="6"/>
  <c r="V13"/>
  <c r="W13" s="1"/>
  <c r="Z13" s="1"/>
  <c r="AA13" s="1"/>
  <c r="X13"/>
  <c r="Y13" s="1"/>
  <c r="F15" i="8"/>
  <c r="G15" s="1"/>
  <c r="B17"/>
  <c r="E16"/>
  <c r="D16"/>
  <c r="C16"/>
  <c r="L16"/>
  <c r="O16"/>
  <c r="P15" i="5"/>
  <c r="Q15" s="1"/>
  <c r="J15"/>
  <c r="K15" s="1"/>
  <c r="R15" s="1"/>
  <c r="S15" s="1"/>
  <c r="R14" i="1"/>
  <c r="S14" s="1"/>
  <c r="Z14"/>
  <c r="AA14" s="1"/>
  <c r="P14" i="2"/>
  <c r="Q14" s="1"/>
  <c r="O14"/>
  <c r="N14"/>
  <c r="B18" i="7"/>
  <c r="L17"/>
  <c r="D17"/>
  <c r="C17"/>
  <c r="E17"/>
  <c r="O17"/>
  <c r="F15" i="6"/>
  <c r="G15" s="1"/>
  <c r="AF15"/>
  <c r="J15" i="3"/>
  <c r="K15" s="1"/>
  <c r="R15" s="1"/>
  <c r="S15" s="1"/>
  <c r="P15"/>
  <c r="Q15" s="1"/>
  <c r="Z13" i="2"/>
  <c r="AA13" s="1"/>
  <c r="R13"/>
  <c r="S13" s="1"/>
  <c r="AD14" i="1"/>
  <c r="AC14"/>
  <c r="H15" i="4"/>
  <c r="I15" s="1"/>
  <c r="U15" s="1"/>
  <c r="H14" i="8"/>
  <c r="I14" s="1"/>
  <c r="U14" s="1"/>
  <c r="V14" i="5"/>
  <c r="W14" s="1"/>
  <c r="Z14" s="1"/>
  <c r="AA14" s="1"/>
  <c r="X14"/>
  <c r="Y14" s="1"/>
  <c r="T14"/>
  <c r="F16"/>
  <c r="G16" s="1"/>
  <c r="M15" i="2"/>
  <c r="M16" i="4"/>
  <c r="AD14"/>
  <c r="AC14"/>
  <c r="J15" i="7"/>
  <c r="K15" s="1"/>
  <c r="R15" s="1"/>
  <c r="S15" s="1"/>
  <c r="P15"/>
  <c r="Q15" s="1"/>
  <c r="O15" i="1"/>
  <c r="P15"/>
  <c r="Q15" s="1"/>
  <c r="N15"/>
  <c r="X15"/>
  <c r="Y15" s="1"/>
  <c r="F16"/>
  <c r="G16" s="1"/>
  <c r="J16" s="1"/>
  <c r="K16" s="1"/>
  <c r="B18" i="3"/>
  <c r="E17"/>
  <c r="D17"/>
  <c r="L17"/>
  <c r="C17"/>
  <c r="O17"/>
  <c r="AF15" i="8"/>
  <c r="J14"/>
  <c r="K14" s="1"/>
  <c r="R14" s="1"/>
  <c r="S14" s="1"/>
  <c r="P14"/>
  <c r="Q14" s="1"/>
  <c r="N15" i="4"/>
  <c r="P15"/>
  <c r="Q15" s="1"/>
  <c r="X15"/>
  <c r="Y15" s="1"/>
  <c r="O15"/>
  <c r="R14"/>
  <c r="S14" s="1"/>
  <c r="Z14"/>
  <c r="AA14" s="1"/>
  <c r="F16" i="7"/>
  <c r="G16" s="1"/>
  <c r="AF16"/>
  <c r="B17" i="6"/>
  <c r="C16"/>
  <c r="E16"/>
  <c r="L16"/>
  <c r="D16"/>
  <c r="O16"/>
  <c r="AC13" i="4"/>
  <c r="AD13"/>
  <c r="AC14" i="7"/>
  <c r="AD14"/>
  <c r="AC13" i="5"/>
  <c r="AD13"/>
  <c r="AC13" i="8"/>
  <c r="AD13"/>
  <c r="H14" i="6"/>
  <c r="I14" s="1"/>
  <c r="U14" s="1"/>
  <c r="H15" i="5"/>
  <c r="I15" s="1"/>
  <c r="U15" s="1"/>
  <c r="H14" i="2"/>
  <c r="I14" s="1"/>
  <c r="U14" s="1"/>
  <c r="H15" i="3"/>
  <c r="I15" s="1"/>
  <c r="U15" s="1"/>
  <c r="X13" i="2"/>
  <c r="Y13" s="1"/>
  <c r="H16" i="3" l="1"/>
  <c r="I16" s="1"/>
  <c r="U16" s="1"/>
  <c r="V16" s="1"/>
  <c r="W16" s="1"/>
  <c r="Z16" s="1"/>
  <c r="AA16" s="1"/>
  <c r="T15"/>
  <c r="V15"/>
  <c r="W15" s="1"/>
  <c r="Z15" s="1"/>
  <c r="AA15" s="1"/>
  <c r="X15"/>
  <c r="Y15" s="1"/>
  <c r="AD14"/>
  <c r="AC14"/>
  <c r="H16" i="1"/>
  <c r="I16" s="1"/>
  <c r="U16" s="1"/>
  <c r="T15" i="7"/>
  <c r="H16" i="4"/>
  <c r="I16" s="1"/>
  <c r="U16" s="1"/>
  <c r="H15" i="2"/>
  <c r="I15" s="1"/>
  <c r="U15" s="1"/>
  <c r="V16" i="1"/>
  <c r="W16" s="1"/>
  <c r="T16"/>
  <c r="T15" i="5"/>
  <c r="V15"/>
  <c r="W15" s="1"/>
  <c r="Z15" s="1"/>
  <c r="AA15" s="1"/>
  <c r="X15"/>
  <c r="Y15" s="1"/>
  <c r="V14" i="2"/>
  <c r="W14" s="1"/>
  <c r="T14"/>
  <c r="T14" i="6"/>
  <c r="V14"/>
  <c r="W14" s="1"/>
  <c r="Z14" s="1"/>
  <c r="AA14" s="1"/>
  <c r="X14"/>
  <c r="Y14" s="1"/>
  <c r="AF16"/>
  <c r="R15" i="4"/>
  <c r="S15" s="1"/>
  <c r="F17" i="3"/>
  <c r="G17" s="1"/>
  <c r="V16" i="4"/>
  <c r="W16" s="1"/>
  <c r="T16"/>
  <c r="V15" i="2"/>
  <c r="W15" s="1"/>
  <c r="T15"/>
  <c r="AC14" i="5"/>
  <c r="AD14"/>
  <c r="V15" i="4"/>
  <c r="W15" s="1"/>
  <c r="Z15" s="1"/>
  <c r="AA15" s="1"/>
  <c r="T15"/>
  <c r="P15" i="6"/>
  <c r="Q15" s="1"/>
  <c r="J15"/>
  <c r="K15" s="1"/>
  <c r="R15" s="1"/>
  <c r="S15" s="1"/>
  <c r="F17" i="7"/>
  <c r="G17" s="1"/>
  <c r="B19"/>
  <c r="E18"/>
  <c r="O18"/>
  <c r="C18"/>
  <c r="L18"/>
  <c r="D18"/>
  <c r="R14" i="2"/>
  <c r="S14" s="1"/>
  <c r="Z14"/>
  <c r="AA14" s="1"/>
  <c r="AF16" i="8"/>
  <c r="L17"/>
  <c r="B18"/>
  <c r="D17"/>
  <c r="C17"/>
  <c r="O17"/>
  <c r="E17"/>
  <c r="O16" i="1"/>
  <c r="X16"/>
  <c r="Y16" s="1"/>
  <c r="P16"/>
  <c r="Q16" s="1"/>
  <c r="N16"/>
  <c r="M17"/>
  <c r="AC15"/>
  <c r="AD15"/>
  <c r="F17" i="4"/>
  <c r="G17" s="1"/>
  <c r="J17" s="1"/>
  <c r="K17" s="1"/>
  <c r="B19"/>
  <c r="C18"/>
  <c r="E18"/>
  <c r="L18"/>
  <c r="D18"/>
  <c r="C17" i="2"/>
  <c r="D17"/>
  <c r="L17"/>
  <c r="B18"/>
  <c r="E17"/>
  <c r="C18" i="5"/>
  <c r="E18"/>
  <c r="O18"/>
  <c r="L18"/>
  <c r="B19"/>
  <c r="D18"/>
  <c r="AC15" i="7"/>
  <c r="AD15"/>
  <c r="H16"/>
  <c r="I16" s="1"/>
  <c r="U16" s="1"/>
  <c r="H16" i="5"/>
  <c r="I16" s="1"/>
  <c r="U16" s="1"/>
  <c r="H15" i="8"/>
  <c r="I15" s="1"/>
  <c r="U15" s="1"/>
  <c r="F16" i="6"/>
  <c r="G16" s="1"/>
  <c r="L17"/>
  <c r="E17"/>
  <c r="O17"/>
  <c r="B18"/>
  <c r="C17"/>
  <c r="D17"/>
  <c r="P16" i="7"/>
  <c r="Q16" s="1"/>
  <c r="J16"/>
  <c r="K16" s="1"/>
  <c r="R16" s="1"/>
  <c r="S16" s="1"/>
  <c r="L18" i="3"/>
  <c r="C18"/>
  <c r="E18"/>
  <c r="B19"/>
  <c r="O18"/>
  <c r="D18"/>
  <c r="R15" i="1"/>
  <c r="S15" s="1"/>
  <c r="Z15"/>
  <c r="AA15" s="1"/>
  <c r="N16" i="4"/>
  <c r="P16"/>
  <c r="Q16" s="1"/>
  <c r="O16"/>
  <c r="X16"/>
  <c r="Y16" s="1"/>
  <c r="P15" i="2"/>
  <c r="Q15" s="1"/>
  <c r="X15"/>
  <c r="Y15" s="1"/>
  <c r="O15"/>
  <c r="N15"/>
  <c r="J16" i="5"/>
  <c r="K16" s="1"/>
  <c r="R16" s="1"/>
  <c r="S16" s="1"/>
  <c r="P16"/>
  <c r="Q16" s="1"/>
  <c r="V14" i="8"/>
  <c r="W14" s="1"/>
  <c r="Z14" s="1"/>
  <c r="AA14" s="1"/>
  <c r="T14"/>
  <c r="X14"/>
  <c r="Y14" s="1"/>
  <c r="AF17" i="7"/>
  <c r="F16" i="8"/>
  <c r="G16" s="1"/>
  <c r="P15"/>
  <c r="Q15" s="1"/>
  <c r="J15"/>
  <c r="K15" s="1"/>
  <c r="R15" s="1"/>
  <c r="S15" s="1"/>
  <c r="AC13" i="6"/>
  <c r="AD13"/>
  <c r="AG13"/>
  <c r="AH13"/>
  <c r="J16" i="3"/>
  <c r="K16" s="1"/>
  <c r="R16" s="1"/>
  <c r="S16" s="1"/>
  <c r="P16"/>
  <c r="Q16" s="1"/>
  <c r="F17" i="1"/>
  <c r="G17" s="1"/>
  <c r="J17" s="1"/>
  <c r="K17" s="1"/>
  <c r="C18"/>
  <c r="L18"/>
  <c r="E18"/>
  <c r="B19"/>
  <c r="D18"/>
  <c r="M17" i="4"/>
  <c r="F16" i="2"/>
  <c r="G16" s="1"/>
  <c r="J16" s="1"/>
  <c r="K16" s="1"/>
  <c r="M16"/>
  <c r="F17" i="5"/>
  <c r="G17" s="1"/>
  <c r="AC13" i="2"/>
  <c r="AD13"/>
  <c r="H15" i="6"/>
  <c r="I15" s="1"/>
  <c r="U15" s="1"/>
  <c r="X14" i="2"/>
  <c r="Y14" s="1"/>
  <c r="X16" i="3" l="1"/>
  <c r="Y16" s="1"/>
  <c r="T16"/>
  <c r="AD15"/>
  <c r="AC15"/>
  <c r="AC16"/>
  <c r="AD16"/>
  <c r="AG15" i="7"/>
  <c r="AH15"/>
  <c r="H16" i="8"/>
  <c r="I16" s="1"/>
  <c r="U16" s="1"/>
  <c r="H17" i="5"/>
  <c r="I17" s="1"/>
  <c r="U17" s="1"/>
  <c r="T17" s="1"/>
  <c r="H17" i="1"/>
  <c r="I17" s="1"/>
  <c r="U17" s="1"/>
  <c r="T17" s="1"/>
  <c r="H17" i="7"/>
  <c r="I17" s="1"/>
  <c r="U17" s="1"/>
  <c r="V17" i="1"/>
  <c r="W17" s="1"/>
  <c r="V17" i="5"/>
  <c r="W17" s="1"/>
  <c r="Z17" s="1"/>
  <c r="AA17" s="1"/>
  <c r="X17"/>
  <c r="Y17" s="1"/>
  <c r="V15" i="6"/>
  <c r="W15" s="1"/>
  <c r="Z15" s="1"/>
  <c r="AA15" s="1"/>
  <c r="T15"/>
  <c r="X15"/>
  <c r="Y15" s="1"/>
  <c r="J17" i="5"/>
  <c r="K17" s="1"/>
  <c r="R17" s="1"/>
  <c r="S17" s="1"/>
  <c r="P17"/>
  <c r="Q17" s="1"/>
  <c r="P16" i="2"/>
  <c r="Q16" s="1"/>
  <c r="O16"/>
  <c r="N16"/>
  <c r="N17" i="4"/>
  <c r="P17"/>
  <c r="Q17" s="1"/>
  <c r="O17"/>
  <c r="C19" i="1"/>
  <c r="E19"/>
  <c r="L19"/>
  <c r="B20"/>
  <c r="D19"/>
  <c r="M18"/>
  <c r="T17" i="7"/>
  <c r="X17"/>
  <c r="Y17" s="1"/>
  <c r="V17"/>
  <c r="W17" s="1"/>
  <c r="Z17" s="1"/>
  <c r="AA17" s="1"/>
  <c r="R15" i="2"/>
  <c r="S15" s="1"/>
  <c r="Z15"/>
  <c r="AA15" s="1"/>
  <c r="R16" i="4"/>
  <c r="S16" s="1"/>
  <c r="Z16"/>
  <c r="AA16" s="1"/>
  <c r="F18" i="3"/>
  <c r="G18" s="1"/>
  <c r="AF17" i="6"/>
  <c r="T16" i="5"/>
  <c r="V16"/>
  <c r="W16" s="1"/>
  <c r="Z16" s="1"/>
  <c r="AA16" s="1"/>
  <c r="X16"/>
  <c r="Y16" s="1"/>
  <c r="F18"/>
  <c r="G18" s="1"/>
  <c r="F17" i="2"/>
  <c r="G17" s="1"/>
  <c r="J17" s="1"/>
  <c r="K17" s="1"/>
  <c r="M17"/>
  <c r="M18" i="4"/>
  <c r="F17" i="8"/>
  <c r="G17" s="1"/>
  <c r="B19"/>
  <c r="C18"/>
  <c r="D18"/>
  <c r="L18"/>
  <c r="O18"/>
  <c r="E18"/>
  <c r="F18" i="7"/>
  <c r="G18" s="1"/>
  <c r="J17"/>
  <c r="K17" s="1"/>
  <c r="R17" s="1"/>
  <c r="S17" s="1"/>
  <c r="P17"/>
  <c r="Q17" s="1"/>
  <c r="AC15" i="4"/>
  <c r="AD15"/>
  <c r="AC15" i="2"/>
  <c r="AD15"/>
  <c r="AC16" i="4"/>
  <c r="AD16"/>
  <c r="AC14" i="2"/>
  <c r="AD14"/>
  <c r="AC15" i="5"/>
  <c r="AD15"/>
  <c r="H16" i="2"/>
  <c r="I16" s="1"/>
  <c r="U16" s="1"/>
  <c r="H16" i="6"/>
  <c r="I16" s="1"/>
  <c r="U16" s="1"/>
  <c r="H17" i="4"/>
  <c r="I17" s="1"/>
  <c r="U17" s="1"/>
  <c r="X17" s="1"/>
  <c r="Y17" s="1"/>
  <c r="H17" i="3"/>
  <c r="I17" s="1"/>
  <c r="U17" s="1"/>
  <c r="F18" i="1"/>
  <c r="G18" s="1"/>
  <c r="J18" s="1"/>
  <c r="K18" s="1"/>
  <c r="J16" i="8"/>
  <c r="K16" s="1"/>
  <c r="R16" s="1"/>
  <c r="S16" s="1"/>
  <c r="P16"/>
  <c r="Q16" s="1"/>
  <c r="AH17" i="7"/>
  <c r="AG17"/>
  <c r="AD14" i="8"/>
  <c r="AC14"/>
  <c r="AH14"/>
  <c r="AG14"/>
  <c r="B20" i="3"/>
  <c r="O19"/>
  <c r="D19"/>
  <c r="L19"/>
  <c r="C19"/>
  <c r="E19"/>
  <c r="C18" i="6"/>
  <c r="L18"/>
  <c r="D18"/>
  <c r="B19"/>
  <c r="E18"/>
  <c r="O18"/>
  <c r="F17"/>
  <c r="G17" s="1"/>
  <c r="P16"/>
  <c r="Q16" s="1"/>
  <c r="J16"/>
  <c r="K16" s="1"/>
  <c r="R16" s="1"/>
  <c r="S16" s="1"/>
  <c r="T15" i="8"/>
  <c r="V15"/>
  <c r="W15" s="1"/>
  <c r="Z15" s="1"/>
  <c r="AA15" s="1"/>
  <c r="X15"/>
  <c r="Y15" s="1"/>
  <c r="X16" i="7"/>
  <c r="Y16" s="1"/>
  <c r="T16"/>
  <c r="V16"/>
  <c r="W16" s="1"/>
  <c r="Z16" s="1"/>
  <c r="AA16" s="1"/>
  <c r="L19" i="5"/>
  <c r="E19"/>
  <c r="O19"/>
  <c r="C19"/>
  <c r="B20"/>
  <c r="D19"/>
  <c r="L18" i="2"/>
  <c r="B19"/>
  <c r="D18"/>
  <c r="C18"/>
  <c r="E18"/>
  <c r="F18" i="4"/>
  <c r="G18" s="1"/>
  <c r="J18" s="1"/>
  <c r="K18" s="1"/>
  <c r="B20"/>
  <c r="C19"/>
  <c r="E19"/>
  <c r="L19"/>
  <c r="D19"/>
  <c r="O17" i="1"/>
  <c r="P17"/>
  <c r="Q17" s="1"/>
  <c r="X17"/>
  <c r="Y17" s="1"/>
  <c r="N17"/>
  <c r="R16"/>
  <c r="S16" s="1"/>
  <c r="Z16"/>
  <c r="AA16" s="1"/>
  <c r="AF17" i="8"/>
  <c r="T16"/>
  <c r="AG16" s="1"/>
  <c r="V16"/>
  <c r="W16" s="1"/>
  <c r="Z16" s="1"/>
  <c r="AA16" s="1"/>
  <c r="X16"/>
  <c r="Y16" s="1"/>
  <c r="AF18" i="7"/>
  <c r="C19"/>
  <c r="B20"/>
  <c r="E19"/>
  <c r="L19"/>
  <c r="D19"/>
  <c r="O19"/>
  <c r="J17" i="3"/>
  <c r="K17" s="1"/>
  <c r="R17" s="1"/>
  <c r="S17" s="1"/>
  <c r="P17"/>
  <c r="Q17" s="1"/>
  <c r="AD14" i="6"/>
  <c r="AC14"/>
  <c r="AH14"/>
  <c r="AG14"/>
  <c r="AC16" i="1"/>
  <c r="AD16"/>
  <c r="H17" i="2" l="1"/>
  <c r="I17" s="1"/>
  <c r="U17" s="1"/>
  <c r="V17" i="3"/>
  <c r="W17" s="1"/>
  <c r="Z17" s="1"/>
  <c r="AA17" s="1"/>
  <c r="X17"/>
  <c r="Y17" s="1"/>
  <c r="T17"/>
  <c r="H18" i="4"/>
  <c r="I18" s="1"/>
  <c r="U18" s="1"/>
  <c r="V18" s="1"/>
  <c r="W18" s="1"/>
  <c r="H18" i="1"/>
  <c r="I18" s="1"/>
  <c r="U18" s="1"/>
  <c r="H18" i="7"/>
  <c r="I18" s="1"/>
  <c r="U18" s="1"/>
  <c r="H17" i="8"/>
  <c r="I17" s="1"/>
  <c r="U17" s="1"/>
  <c r="H18" i="3"/>
  <c r="I18" s="1"/>
  <c r="U18" s="1"/>
  <c r="V18" i="1"/>
  <c r="W18" s="1"/>
  <c r="T18"/>
  <c r="F19" i="7"/>
  <c r="G19" s="1"/>
  <c r="X17" i="8"/>
  <c r="Y17" s="1"/>
  <c r="T17"/>
  <c r="V17"/>
  <c r="W17" s="1"/>
  <c r="Z17" s="1"/>
  <c r="AA17" s="1"/>
  <c r="F19" i="4"/>
  <c r="G19" s="1"/>
  <c r="J19" s="1"/>
  <c r="K19" s="1"/>
  <c r="B21"/>
  <c r="C20"/>
  <c r="E20"/>
  <c r="L20"/>
  <c r="D20"/>
  <c r="C19" i="2"/>
  <c r="D19"/>
  <c r="L19"/>
  <c r="B20"/>
  <c r="E19"/>
  <c r="F19" i="5"/>
  <c r="G19" s="1"/>
  <c r="L19" i="6"/>
  <c r="B20"/>
  <c r="E19"/>
  <c r="C19"/>
  <c r="D19"/>
  <c r="O19"/>
  <c r="AF18"/>
  <c r="F19" i="3"/>
  <c r="G19" s="1"/>
  <c r="T16" i="2"/>
  <c r="V16"/>
  <c r="W16" s="1"/>
  <c r="J18" i="7"/>
  <c r="K18" s="1"/>
  <c r="R18" s="1"/>
  <c r="S18" s="1"/>
  <c r="P18"/>
  <c r="Q18" s="1"/>
  <c r="B20" i="8"/>
  <c r="C19"/>
  <c r="O19"/>
  <c r="L19"/>
  <c r="D19"/>
  <c r="E19"/>
  <c r="J17"/>
  <c r="K17" s="1"/>
  <c r="R17" s="1"/>
  <c r="S17" s="1"/>
  <c r="P17"/>
  <c r="Q17" s="1"/>
  <c r="N18" i="4"/>
  <c r="X18"/>
  <c r="Y18" s="1"/>
  <c r="P18"/>
  <c r="Q18" s="1"/>
  <c r="O18"/>
  <c r="N17" i="2"/>
  <c r="P17"/>
  <c r="Q17" s="1"/>
  <c r="X17"/>
  <c r="Y17" s="1"/>
  <c r="O17"/>
  <c r="P18" i="5"/>
  <c r="Q18" s="1"/>
  <c r="J18"/>
  <c r="K18" s="1"/>
  <c r="R18" s="1"/>
  <c r="S18" s="1"/>
  <c r="J18" i="3"/>
  <c r="K18" s="1"/>
  <c r="R18" s="1"/>
  <c r="S18" s="1"/>
  <c r="P18"/>
  <c r="Q18" s="1"/>
  <c r="M19" i="1"/>
  <c r="AC15" i="6"/>
  <c r="AD15"/>
  <c r="AH15"/>
  <c r="AG15"/>
  <c r="AC17" i="5"/>
  <c r="AD17"/>
  <c r="H18"/>
  <c r="I18" s="1"/>
  <c r="U18" s="1"/>
  <c r="AF19" i="7"/>
  <c r="B21"/>
  <c r="E20"/>
  <c r="O20"/>
  <c r="L20"/>
  <c r="C20"/>
  <c r="D20"/>
  <c r="V18"/>
  <c r="W18" s="1"/>
  <c r="Z18" s="1"/>
  <c r="AA18" s="1"/>
  <c r="X18"/>
  <c r="Y18" s="1"/>
  <c r="T18"/>
  <c r="AH18" s="1"/>
  <c r="AC16" i="8"/>
  <c r="AD16"/>
  <c r="AH17"/>
  <c r="AG17"/>
  <c r="R17" i="1"/>
  <c r="S17" s="1"/>
  <c r="Z17"/>
  <c r="AA17" s="1"/>
  <c r="M19" i="4"/>
  <c r="F18" i="2"/>
  <c r="G18" s="1"/>
  <c r="J18" s="1"/>
  <c r="K18" s="1"/>
  <c r="M18"/>
  <c r="C20" i="5"/>
  <c r="D20"/>
  <c r="O20"/>
  <c r="L20"/>
  <c r="B21"/>
  <c r="E20"/>
  <c r="AD16" i="7"/>
  <c r="AC16"/>
  <c r="AH16"/>
  <c r="AG16"/>
  <c r="AD15" i="8"/>
  <c r="AC15"/>
  <c r="AG15"/>
  <c r="AH15"/>
  <c r="J17" i="6"/>
  <c r="K17" s="1"/>
  <c r="R17" s="1"/>
  <c r="S17" s="1"/>
  <c r="P17"/>
  <c r="Q17" s="1"/>
  <c r="F18"/>
  <c r="G18" s="1"/>
  <c r="B21" i="3"/>
  <c r="E20"/>
  <c r="O20"/>
  <c r="L20"/>
  <c r="C20"/>
  <c r="D20"/>
  <c r="V17" i="4"/>
  <c r="W17" s="1"/>
  <c r="T17"/>
  <c r="V16" i="6"/>
  <c r="W16" s="1"/>
  <c r="Z16" s="1"/>
  <c r="AA16" s="1"/>
  <c r="X16"/>
  <c r="Y16" s="1"/>
  <c r="T16"/>
  <c r="F18" i="8"/>
  <c r="G18" s="1"/>
  <c r="AF18"/>
  <c r="V17" i="2"/>
  <c r="W17" s="1"/>
  <c r="T17"/>
  <c r="AD16" i="5"/>
  <c r="AC16"/>
  <c r="AD17" i="7"/>
  <c r="AC17"/>
  <c r="N18" i="1"/>
  <c r="X18"/>
  <c r="Y18" s="1"/>
  <c r="P18"/>
  <c r="Q18" s="1"/>
  <c r="O18"/>
  <c r="C20"/>
  <c r="L20"/>
  <c r="D20"/>
  <c r="B21"/>
  <c r="E20"/>
  <c r="F19"/>
  <c r="G19" s="1"/>
  <c r="J19" s="1"/>
  <c r="K19" s="1"/>
  <c r="R17" i="4"/>
  <c r="S17" s="1"/>
  <c r="Z17"/>
  <c r="AA17" s="1"/>
  <c r="R16" i="2"/>
  <c r="S16" s="1"/>
  <c r="Z16"/>
  <c r="AA16" s="1"/>
  <c r="AC17" i="1"/>
  <c r="AD17"/>
  <c r="H17" i="6"/>
  <c r="I17" s="1"/>
  <c r="U17" s="1"/>
  <c r="AH16" i="8"/>
  <c r="X16" i="2"/>
  <c r="Y16" s="1"/>
  <c r="T18" i="4" l="1"/>
  <c r="T18" i="3"/>
  <c r="V18"/>
  <c r="W18" s="1"/>
  <c r="Z18" s="1"/>
  <c r="AA18" s="1"/>
  <c r="X18"/>
  <c r="Y18" s="1"/>
  <c r="AC17"/>
  <c r="AD17"/>
  <c r="H18" i="6"/>
  <c r="I18" s="1"/>
  <c r="U18" s="1"/>
  <c r="H19" i="4"/>
  <c r="I19" s="1"/>
  <c r="U19" s="1"/>
  <c r="H18" i="8"/>
  <c r="I18" s="1"/>
  <c r="U18" s="1"/>
  <c r="V18" i="6"/>
  <c r="W18" s="1"/>
  <c r="Z18" s="1"/>
  <c r="AA18" s="1"/>
  <c r="X18"/>
  <c r="Y18" s="1"/>
  <c r="T18"/>
  <c r="B22" i="1"/>
  <c r="D21"/>
  <c r="C21"/>
  <c r="L21"/>
  <c r="E21"/>
  <c r="M20"/>
  <c r="R18"/>
  <c r="S18" s="1"/>
  <c r="Z18"/>
  <c r="AA18" s="1"/>
  <c r="AD17" i="2"/>
  <c r="AC17"/>
  <c r="V18" i="8"/>
  <c r="W18" s="1"/>
  <c r="Z18" s="1"/>
  <c r="AA18" s="1"/>
  <c r="T18"/>
  <c r="X18"/>
  <c r="Y18" s="1"/>
  <c r="P18"/>
  <c r="Q18" s="1"/>
  <c r="J18"/>
  <c r="K18" s="1"/>
  <c r="R18" s="1"/>
  <c r="S18" s="1"/>
  <c r="AD16" i="6"/>
  <c r="AC16"/>
  <c r="AH16"/>
  <c r="AG16"/>
  <c r="L21" i="3"/>
  <c r="C21"/>
  <c r="D21"/>
  <c r="B22"/>
  <c r="E21"/>
  <c r="O21"/>
  <c r="P18" i="6"/>
  <c r="Q18" s="1"/>
  <c r="J18"/>
  <c r="K18" s="1"/>
  <c r="R18" s="1"/>
  <c r="S18" s="1"/>
  <c r="B22" i="5"/>
  <c r="D21"/>
  <c r="O21"/>
  <c r="L21"/>
  <c r="C21"/>
  <c r="E21"/>
  <c r="N19" i="4"/>
  <c r="P19"/>
  <c r="Q19" s="1"/>
  <c r="X19"/>
  <c r="Y19" s="1"/>
  <c r="O19"/>
  <c r="AF20" i="7"/>
  <c r="F20"/>
  <c r="G20" s="1"/>
  <c r="V18" i="5"/>
  <c r="W18" s="1"/>
  <c r="Z18" s="1"/>
  <c r="AA18" s="1"/>
  <c r="T18"/>
  <c r="X18"/>
  <c r="Y18" s="1"/>
  <c r="N19" i="1"/>
  <c r="P19"/>
  <c r="Q19" s="1"/>
  <c r="O19"/>
  <c r="L20" i="8"/>
  <c r="D20"/>
  <c r="O20"/>
  <c r="C20"/>
  <c r="B21"/>
  <c r="E20"/>
  <c r="AD16" i="2"/>
  <c r="AC16"/>
  <c r="B21" i="6"/>
  <c r="C20"/>
  <c r="D20"/>
  <c r="L20"/>
  <c r="E20"/>
  <c r="O20"/>
  <c r="F19" i="2"/>
  <c r="G19" s="1"/>
  <c r="J19" s="1"/>
  <c r="K19" s="1"/>
  <c r="M19"/>
  <c r="M20" i="4"/>
  <c r="H19" i="1"/>
  <c r="I19" s="1"/>
  <c r="U19" s="1"/>
  <c r="H18" i="2"/>
  <c r="I18" s="1"/>
  <c r="U18" s="1"/>
  <c r="H19" i="3"/>
  <c r="I19" s="1"/>
  <c r="U19" s="1"/>
  <c r="H19" i="7"/>
  <c r="I19" s="1"/>
  <c r="U19" s="1"/>
  <c r="T17" i="6"/>
  <c r="X17"/>
  <c r="Y17" s="1"/>
  <c r="V17"/>
  <c r="W17" s="1"/>
  <c r="Z17" s="1"/>
  <c r="AA17" s="1"/>
  <c r="F20" i="1"/>
  <c r="G20" s="1"/>
  <c r="J20" s="1"/>
  <c r="K20" s="1"/>
  <c r="AG18" i="8"/>
  <c r="AH18"/>
  <c r="AC17" i="4"/>
  <c r="AD17"/>
  <c r="F20" i="3"/>
  <c r="G20" s="1"/>
  <c r="F20" i="5"/>
  <c r="G20" s="1"/>
  <c r="P18" i="2"/>
  <c r="Q18" s="1"/>
  <c r="O18"/>
  <c r="X18"/>
  <c r="Y18" s="1"/>
  <c r="N18"/>
  <c r="V19" i="4"/>
  <c r="W19" s="1"/>
  <c r="T19"/>
  <c r="AC18" i="7"/>
  <c r="AD18"/>
  <c r="C21"/>
  <c r="D21"/>
  <c r="O21"/>
  <c r="B22"/>
  <c r="L21"/>
  <c r="E21"/>
  <c r="Z17" i="2"/>
  <c r="AA17" s="1"/>
  <c r="R17"/>
  <c r="S17" s="1"/>
  <c r="R18" i="4"/>
  <c r="S18" s="1"/>
  <c r="Z18"/>
  <c r="AA18" s="1"/>
  <c r="F19" i="8"/>
  <c r="G19" s="1"/>
  <c r="AF19"/>
  <c r="P19" i="3"/>
  <c r="Q19" s="1"/>
  <c r="J19"/>
  <c r="K19" s="1"/>
  <c r="R19" s="1"/>
  <c r="S19" s="1"/>
  <c r="AH18" i="6"/>
  <c r="AG18"/>
  <c r="F19"/>
  <c r="G19" s="1"/>
  <c r="AF19"/>
  <c r="J19" i="5"/>
  <c r="K19" s="1"/>
  <c r="R19" s="1"/>
  <c r="S19" s="1"/>
  <c r="P19"/>
  <c r="Q19" s="1"/>
  <c r="L20" i="2"/>
  <c r="B21"/>
  <c r="E20"/>
  <c r="C20"/>
  <c r="D20"/>
  <c r="F20" i="4"/>
  <c r="G20" s="1"/>
  <c r="J20" s="1"/>
  <c r="K20" s="1"/>
  <c r="L21"/>
  <c r="E21"/>
  <c r="B22"/>
  <c r="C21"/>
  <c r="D21"/>
  <c r="AD17" i="8"/>
  <c r="AC17"/>
  <c r="J19" i="7"/>
  <c r="K19" s="1"/>
  <c r="R19" s="1"/>
  <c r="S19" s="1"/>
  <c r="P19"/>
  <c r="Q19" s="1"/>
  <c r="AD18" i="1"/>
  <c r="AC18"/>
  <c r="AD18" i="4"/>
  <c r="AC18"/>
  <c r="H19" i="5"/>
  <c r="I19" s="1"/>
  <c r="U19" s="1"/>
  <c r="AG18" i="7"/>
  <c r="AC18" i="3" l="1"/>
  <c r="AD18"/>
  <c r="X19"/>
  <c r="Y19" s="1"/>
  <c r="T19"/>
  <c r="V19"/>
  <c r="W19" s="1"/>
  <c r="Z19" s="1"/>
  <c r="AA19" s="1"/>
  <c r="H20" i="4"/>
  <c r="I20" s="1"/>
  <c r="U20" s="1"/>
  <c r="V20" s="1"/>
  <c r="W20" s="1"/>
  <c r="T19" i="5"/>
  <c r="X19"/>
  <c r="Y19" s="1"/>
  <c r="V19"/>
  <c r="W19" s="1"/>
  <c r="Z19" s="1"/>
  <c r="AA19" s="1"/>
  <c r="B23" i="4"/>
  <c r="C22"/>
  <c r="D22"/>
  <c r="L22"/>
  <c r="E22"/>
  <c r="M21"/>
  <c r="C21" i="2"/>
  <c r="D21"/>
  <c r="L21"/>
  <c r="B22"/>
  <c r="E21"/>
  <c r="F21" i="7"/>
  <c r="G21" s="1"/>
  <c r="L22"/>
  <c r="D22"/>
  <c r="O22"/>
  <c r="C22"/>
  <c r="B23"/>
  <c r="E22"/>
  <c r="AC19" i="4"/>
  <c r="AD19"/>
  <c r="R18" i="2"/>
  <c r="S18" s="1"/>
  <c r="V19" i="7"/>
  <c r="W19" s="1"/>
  <c r="Z19" s="1"/>
  <c r="AA19" s="1"/>
  <c r="X19"/>
  <c r="Y19" s="1"/>
  <c r="T19"/>
  <c r="V19" i="1"/>
  <c r="W19" s="1"/>
  <c r="T19"/>
  <c r="P20" i="4"/>
  <c r="Q20" s="1"/>
  <c r="O20"/>
  <c r="X20"/>
  <c r="Y20" s="1"/>
  <c r="N20"/>
  <c r="F20" i="6"/>
  <c r="G20" s="1"/>
  <c r="B22"/>
  <c r="C21"/>
  <c r="E21"/>
  <c r="L21"/>
  <c r="D21"/>
  <c r="O21"/>
  <c r="C21" i="8"/>
  <c r="D21"/>
  <c r="O21"/>
  <c r="L21"/>
  <c r="B22"/>
  <c r="E21"/>
  <c r="AF20"/>
  <c r="AD18" i="5"/>
  <c r="AC18"/>
  <c r="R19" i="4"/>
  <c r="S19" s="1"/>
  <c r="Z19"/>
  <c r="AA19" s="1"/>
  <c r="F21" i="5"/>
  <c r="G21" s="1"/>
  <c r="B23" i="3"/>
  <c r="O22"/>
  <c r="D22"/>
  <c r="L22"/>
  <c r="C22"/>
  <c r="E22"/>
  <c r="M21" i="1"/>
  <c r="AD18" i="6"/>
  <c r="AC18"/>
  <c r="H19" i="8"/>
  <c r="I19" s="1"/>
  <c r="U19" s="1"/>
  <c r="T19" s="1"/>
  <c r="H20" i="3"/>
  <c r="I20" s="1"/>
  <c r="U20" s="1"/>
  <c r="H20" i="1"/>
  <c r="I20" s="1"/>
  <c r="U20" s="1"/>
  <c r="H19" i="2"/>
  <c r="I19" s="1"/>
  <c r="U19" s="1"/>
  <c r="H20" i="7"/>
  <c r="I20" s="1"/>
  <c r="U20" s="1"/>
  <c r="F21" i="4"/>
  <c r="G21" s="1"/>
  <c r="J21" s="1"/>
  <c r="K21" s="1"/>
  <c r="F20" i="2"/>
  <c r="G20" s="1"/>
  <c r="J20" s="1"/>
  <c r="K20" s="1"/>
  <c r="M20"/>
  <c r="P19" i="6"/>
  <c r="Q19" s="1"/>
  <c r="J19"/>
  <c r="K19" s="1"/>
  <c r="R19" s="1"/>
  <c r="S19" s="1"/>
  <c r="J19" i="8"/>
  <c r="K19" s="1"/>
  <c r="R19" s="1"/>
  <c r="S19" s="1"/>
  <c r="P19"/>
  <c r="Q19" s="1"/>
  <c r="AF21" i="7"/>
  <c r="P20" i="5"/>
  <c r="Q20" s="1"/>
  <c r="J20"/>
  <c r="K20" s="1"/>
  <c r="R20" s="1"/>
  <c r="S20" s="1"/>
  <c r="P20" i="3"/>
  <c r="Q20" s="1"/>
  <c r="J20"/>
  <c r="K20" s="1"/>
  <c r="R20" s="1"/>
  <c r="S20" s="1"/>
  <c r="AD17" i="6"/>
  <c r="AC17"/>
  <c r="AG17"/>
  <c r="AH17"/>
  <c r="T18" i="2"/>
  <c r="V18"/>
  <c r="W18" s="1"/>
  <c r="Z18" s="1"/>
  <c r="AA18" s="1"/>
  <c r="N19"/>
  <c r="P19"/>
  <c r="Q19" s="1"/>
  <c r="X19"/>
  <c r="Y19" s="1"/>
  <c r="O19"/>
  <c r="AF20" i="6"/>
  <c r="F20" i="8"/>
  <c r="G20" s="1"/>
  <c r="R19" i="1"/>
  <c r="S19" s="1"/>
  <c r="Z19"/>
  <c r="AA19" s="1"/>
  <c r="J20" i="7"/>
  <c r="K20" s="1"/>
  <c r="R20" s="1"/>
  <c r="S20" s="1"/>
  <c r="P20"/>
  <c r="Q20" s="1"/>
  <c r="T20"/>
  <c r="AH20" s="1"/>
  <c r="V20"/>
  <c r="W20" s="1"/>
  <c r="Z20" s="1"/>
  <c r="AA20" s="1"/>
  <c r="X20"/>
  <c r="Y20" s="1"/>
  <c r="L22" i="5"/>
  <c r="B23"/>
  <c r="D22"/>
  <c r="C22"/>
  <c r="E22"/>
  <c r="O22"/>
  <c r="F21" i="3"/>
  <c r="G21" s="1"/>
  <c r="AD18" i="8"/>
  <c r="AC18"/>
  <c r="N20" i="1"/>
  <c r="X20"/>
  <c r="Y20" s="1"/>
  <c r="P20"/>
  <c r="Q20" s="1"/>
  <c r="O20"/>
  <c r="F21"/>
  <c r="G21" s="1"/>
  <c r="J21" s="1"/>
  <c r="K21" s="1"/>
  <c r="C22"/>
  <c r="L22"/>
  <c r="E22"/>
  <c r="B23"/>
  <c r="D22"/>
  <c r="H19" i="6"/>
  <c r="I19" s="1"/>
  <c r="U19" s="1"/>
  <c r="H20" i="5"/>
  <c r="I20" s="1"/>
  <c r="U20" s="1"/>
  <c r="X19" i="1"/>
  <c r="Y19" s="1"/>
  <c r="AG19" i="8" l="1"/>
  <c r="AH19"/>
  <c r="V19"/>
  <c r="W19" s="1"/>
  <c r="Z19" s="1"/>
  <c r="AA19" s="1"/>
  <c r="T20" i="3"/>
  <c r="V20"/>
  <c r="W20" s="1"/>
  <c r="Z20" s="1"/>
  <c r="AA20" s="1"/>
  <c r="X20"/>
  <c r="Y20" s="1"/>
  <c r="AC19"/>
  <c r="AD19"/>
  <c r="X19" i="8"/>
  <c r="Y19" s="1"/>
  <c r="T20" i="4"/>
  <c r="H21"/>
  <c r="I21" s="1"/>
  <c r="U21" s="1"/>
  <c r="V21" s="1"/>
  <c r="W21" s="1"/>
  <c r="H21" i="5"/>
  <c r="I21" s="1"/>
  <c r="U21" s="1"/>
  <c r="H20" i="6"/>
  <c r="I20" s="1"/>
  <c r="U20" s="1"/>
  <c r="X20" s="1"/>
  <c r="Y20" s="1"/>
  <c r="L23" i="1"/>
  <c r="B24"/>
  <c r="D23"/>
  <c r="C23"/>
  <c r="E23"/>
  <c r="M22"/>
  <c r="R20"/>
  <c r="S20" s="1"/>
  <c r="J21" i="3"/>
  <c r="K21" s="1"/>
  <c r="R21" s="1"/>
  <c r="S21" s="1"/>
  <c r="P21"/>
  <c r="Q21" s="1"/>
  <c r="F22" i="5"/>
  <c r="G22" s="1"/>
  <c r="P20" i="8"/>
  <c r="Q20" s="1"/>
  <c r="J20"/>
  <c r="K20" s="1"/>
  <c r="R20" s="1"/>
  <c r="S20" s="1"/>
  <c r="R19" i="2"/>
  <c r="S19" s="1"/>
  <c r="N20"/>
  <c r="P20"/>
  <c r="Q20" s="1"/>
  <c r="O20"/>
  <c r="V21" i="5"/>
  <c r="W21" s="1"/>
  <c r="Z21" s="1"/>
  <c r="AA21" s="1"/>
  <c r="T21"/>
  <c r="X21"/>
  <c r="Y21" s="1"/>
  <c r="T19" i="2"/>
  <c r="V19"/>
  <c r="W19" s="1"/>
  <c r="Z19" s="1"/>
  <c r="AA19" s="1"/>
  <c r="F22" i="3"/>
  <c r="G22" s="1"/>
  <c r="P21" i="5"/>
  <c r="Q21" s="1"/>
  <c r="J21"/>
  <c r="K21" s="1"/>
  <c r="R21" s="1"/>
  <c r="S21" s="1"/>
  <c r="F21" i="8"/>
  <c r="G21" s="1"/>
  <c r="AF21"/>
  <c r="AF21" i="6"/>
  <c r="R20" i="4"/>
  <c r="S20" s="1"/>
  <c r="Z20"/>
  <c r="AA20" s="1"/>
  <c r="AD19" i="1"/>
  <c r="AC19"/>
  <c r="AC19" i="7"/>
  <c r="AD19"/>
  <c r="AH19"/>
  <c r="AG19"/>
  <c r="C23"/>
  <c r="B24"/>
  <c r="D23"/>
  <c r="L23"/>
  <c r="E23"/>
  <c r="O23"/>
  <c r="AF22"/>
  <c r="J21"/>
  <c r="K21" s="1"/>
  <c r="R21" s="1"/>
  <c r="S21" s="1"/>
  <c r="P21"/>
  <c r="Q21" s="1"/>
  <c r="F21" i="2"/>
  <c r="G21" s="1"/>
  <c r="J21" s="1"/>
  <c r="K21" s="1"/>
  <c r="M21"/>
  <c r="M22" i="4"/>
  <c r="AD19" i="5"/>
  <c r="AC19"/>
  <c r="H21" i="7"/>
  <c r="I21" s="1"/>
  <c r="U21" s="1"/>
  <c r="V19" i="6"/>
  <c r="W19" s="1"/>
  <c r="Z19" s="1"/>
  <c r="AA19" s="1"/>
  <c r="T19"/>
  <c r="X19"/>
  <c r="Y19" s="1"/>
  <c r="V20" i="5"/>
  <c r="W20" s="1"/>
  <c r="Z20" s="1"/>
  <c r="AA20" s="1"/>
  <c r="T20"/>
  <c r="X20"/>
  <c r="Y20" s="1"/>
  <c r="F22" i="1"/>
  <c r="G22" s="1"/>
  <c r="J22" s="1"/>
  <c r="K22" s="1"/>
  <c r="C23" i="5"/>
  <c r="E23"/>
  <c r="O23"/>
  <c r="L23"/>
  <c r="B24"/>
  <c r="D23"/>
  <c r="AC20" i="7"/>
  <c r="AD20"/>
  <c r="AD18" i="2"/>
  <c r="AC18"/>
  <c r="T21" i="7"/>
  <c r="X21"/>
  <c r="Y21" s="1"/>
  <c r="V21"/>
  <c r="W21" s="1"/>
  <c r="Z21" s="1"/>
  <c r="AA21" s="1"/>
  <c r="V20" i="1"/>
  <c r="W20" s="1"/>
  <c r="Z20" s="1"/>
  <c r="AA20" s="1"/>
  <c r="T20"/>
  <c r="N21"/>
  <c r="O21"/>
  <c r="P21"/>
  <c r="Q21" s="1"/>
  <c r="B24" i="3"/>
  <c r="O23"/>
  <c r="D23"/>
  <c r="L23"/>
  <c r="C23"/>
  <c r="E23"/>
  <c r="L22" i="8"/>
  <c r="B23"/>
  <c r="D22"/>
  <c r="C22"/>
  <c r="E22"/>
  <c r="O22"/>
  <c r="F21" i="6"/>
  <c r="G21" s="1"/>
  <c r="C22"/>
  <c r="L22"/>
  <c r="E22"/>
  <c r="B23"/>
  <c r="D22"/>
  <c r="O22"/>
  <c r="J20"/>
  <c r="K20" s="1"/>
  <c r="R20" s="1"/>
  <c r="S20" s="1"/>
  <c r="P20"/>
  <c r="Q20" s="1"/>
  <c r="F22" i="7"/>
  <c r="G22" s="1"/>
  <c r="AC19" i="8"/>
  <c r="AD19"/>
  <c r="C22" i="2"/>
  <c r="D22"/>
  <c r="L22"/>
  <c r="B23"/>
  <c r="E22"/>
  <c r="N21" i="4"/>
  <c r="P21"/>
  <c r="Q21" s="1"/>
  <c r="O21"/>
  <c r="X21"/>
  <c r="Y21" s="1"/>
  <c r="F22"/>
  <c r="G22" s="1"/>
  <c r="J22" s="1"/>
  <c r="K22" s="1"/>
  <c r="L23"/>
  <c r="D23"/>
  <c r="B24"/>
  <c r="C23"/>
  <c r="E23"/>
  <c r="AD20"/>
  <c r="AC20"/>
  <c r="H21" i="1"/>
  <c r="I21" s="1"/>
  <c r="U21" s="1"/>
  <c r="H21" i="3"/>
  <c r="I21" s="1"/>
  <c r="U21" s="1"/>
  <c r="H20" i="8"/>
  <c r="I20" s="1"/>
  <c r="U20" s="1"/>
  <c r="X20" s="1"/>
  <c r="Y20" s="1"/>
  <c r="H20" i="2"/>
  <c r="I20" s="1"/>
  <c r="U20" s="1"/>
  <c r="X20" s="1"/>
  <c r="Y20" s="1"/>
  <c r="AG20" i="7"/>
  <c r="T20" i="6" l="1"/>
  <c r="V20"/>
  <c r="W20" s="1"/>
  <c r="Z20" s="1"/>
  <c r="AA20" s="1"/>
  <c r="T21" i="4"/>
  <c r="H22"/>
  <c r="I22" s="1"/>
  <c r="U22" s="1"/>
  <c r="T21" i="3"/>
  <c r="V21"/>
  <c r="W21" s="1"/>
  <c r="Z21" s="1"/>
  <c r="AA21" s="1"/>
  <c r="X21"/>
  <c r="Y21" s="1"/>
  <c r="AD20"/>
  <c r="AC20"/>
  <c r="V20" i="8"/>
  <c r="W20" s="1"/>
  <c r="Z20" s="1"/>
  <c r="AA20" s="1"/>
  <c r="T20"/>
  <c r="AH20" s="1"/>
  <c r="H21" i="2"/>
  <c r="I21" s="1"/>
  <c r="U21" s="1"/>
  <c r="V22" i="4"/>
  <c r="W22" s="1"/>
  <c r="T22"/>
  <c r="T21" i="1"/>
  <c r="V21"/>
  <c r="W21" s="1"/>
  <c r="F22" i="2"/>
  <c r="G22" s="1"/>
  <c r="J22" s="1"/>
  <c r="K22" s="1"/>
  <c r="M22"/>
  <c r="P22" i="7"/>
  <c r="Q22" s="1"/>
  <c r="J22"/>
  <c r="K22" s="1"/>
  <c r="R22" s="1"/>
  <c r="S22" s="1"/>
  <c r="F22" i="6"/>
  <c r="G22" s="1"/>
  <c r="P21"/>
  <c r="Q21" s="1"/>
  <c r="J21"/>
  <c r="K21" s="1"/>
  <c r="R21" s="1"/>
  <c r="S21" s="1"/>
  <c r="F22" i="8"/>
  <c r="G22" s="1"/>
  <c r="AF22"/>
  <c r="F23" i="3"/>
  <c r="G23" s="1"/>
  <c r="Z21" i="1"/>
  <c r="AA21" s="1"/>
  <c r="R21"/>
  <c r="S21" s="1"/>
  <c r="AC20"/>
  <c r="AD20"/>
  <c r="AD21" i="7"/>
  <c r="AC21"/>
  <c r="L24" i="5"/>
  <c r="B25"/>
  <c r="D24"/>
  <c r="C24"/>
  <c r="E24"/>
  <c r="O24"/>
  <c r="AD20"/>
  <c r="AC20"/>
  <c r="P22" i="4"/>
  <c r="Q22" s="1"/>
  <c r="X22"/>
  <c r="Y22" s="1"/>
  <c r="O22"/>
  <c r="N22"/>
  <c r="N21" i="2"/>
  <c r="P21"/>
  <c r="Q21" s="1"/>
  <c r="X21"/>
  <c r="Y21" s="1"/>
  <c r="O21"/>
  <c r="F23" i="7"/>
  <c r="G23" s="1"/>
  <c r="AD20" i="6"/>
  <c r="AC20"/>
  <c r="N22" i="1"/>
  <c r="P22"/>
  <c r="Q22" s="1"/>
  <c r="O22"/>
  <c r="F23"/>
  <c r="G23" s="1"/>
  <c r="J23" s="1"/>
  <c r="K23" s="1"/>
  <c r="M23"/>
  <c r="H22"/>
  <c r="I22" s="1"/>
  <c r="U22" s="1"/>
  <c r="X22" s="1"/>
  <c r="Y22" s="1"/>
  <c r="H21" i="8"/>
  <c r="I21" s="1"/>
  <c r="U21" s="1"/>
  <c r="H22" i="3"/>
  <c r="I22" s="1"/>
  <c r="U22" s="1"/>
  <c r="AH21" i="7"/>
  <c r="T20" i="2"/>
  <c r="V20"/>
  <c r="W20" s="1"/>
  <c r="F23" i="4"/>
  <c r="G23" s="1"/>
  <c r="J23" s="1"/>
  <c r="K23" s="1"/>
  <c r="B25"/>
  <c r="C24"/>
  <c r="E24"/>
  <c r="L24"/>
  <c r="D24"/>
  <c r="M23"/>
  <c r="R21"/>
  <c r="S21" s="1"/>
  <c r="Z21"/>
  <c r="AA21" s="1"/>
  <c r="L23" i="2"/>
  <c r="B24"/>
  <c r="D23"/>
  <c r="C23"/>
  <c r="E23"/>
  <c r="C23" i="6"/>
  <c r="E23"/>
  <c r="O23"/>
  <c r="L23"/>
  <c r="B24"/>
  <c r="D23"/>
  <c r="AF22"/>
  <c r="C23" i="8"/>
  <c r="E23"/>
  <c r="O23"/>
  <c r="B24"/>
  <c r="L23"/>
  <c r="D23"/>
  <c r="AC20"/>
  <c r="AD20"/>
  <c r="B25" i="3"/>
  <c r="E24"/>
  <c r="O24"/>
  <c r="L24"/>
  <c r="C24"/>
  <c r="D24"/>
  <c r="F23" i="5"/>
  <c r="G23" s="1"/>
  <c r="AC19" i="6"/>
  <c r="AD19"/>
  <c r="AH19"/>
  <c r="AG19"/>
  <c r="T21" i="2"/>
  <c r="V21"/>
  <c r="W21" s="1"/>
  <c r="AF23" i="7"/>
  <c r="L24"/>
  <c r="C24"/>
  <c r="E24"/>
  <c r="B25"/>
  <c r="D24"/>
  <c r="O24"/>
  <c r="X21" i="8"/>
  <c r="Y21" s="1"/>
  <c r="T21"/>
  <c r="AG21" s="1"/>
  <c r="V21"/>
  <c r="W21" s="1"/>
  <c r="Z21" s="1"/>
  <c r="AA21" s="1"/>
  <c r="P21"/>
  <c r="Q21" s="1"/>
  <c r="J21"/>
  <c r="K21" s="1"/>
  <c r="R21" s="1"/>
  <c r="S21" s="1"/>
  <c r="P22" i="3"/>
  <c r="Q22" s="1"/>
  <c r="J22"/>
  <c r="K22" s="1"/>
  <c r="R22" s="1"/>
  <c r="S22" s="1"/>
  <c r="AC19" i="2"/>
  <c r="AD19"/>
  <c r="AD21" i="5"/>
  <c r="AC21"/>
  <c r="R20" i="2"/>
  <c r="S20" s="1"/>
  <c r="Z20"/>
  <c r="AA20" s="1"/>
  <c r="J22" i="5"/>
  <c r="K22" s="1"/>
  <c r="R22" s="1"/>
  <c r="S22" s="1"/>
  <c r="P22"/>
  <c r="Q22" s="1"/>
  <c r="B25" i="1"/>
  <c r="E24"/>
  <c r="C24"/>
  <c r="L24"/>
  <c r="D24"/>
  <c r="AD21" i="4"/>
  <c r="AC21"/>
  <c r="H22" i="7"/>
  <c r="I22" s="1"/>
  <c r="U22" s="1"/>
  <c r="T22" s="1"/>
  <c r="AG22" s="1"/>
  <c r="H21" i="6"/>
  <c r="I21" s="1"/>
  <c r="U21" s="1"/>
  <c r="X21" i="1"/>
  <c r="Y21" s="1"/>
  <c r="U23" i="5"/>
  <c r="AG20" i="8"/>
  <c r="AG21" i="7"/>
  <c r="H22" i="5"/>
  <c r="I22" s="1"/>
  <c r="U22" s="1"/>
  <c r="H23" l="1"/>
  <c r="I23" s="1"/>
  <c r="AG20" i="6"/>
  <c r="AH20"/>
  <c r="T22" i="3"/>
  <c r="V22"/>
  <c r="W22" s="1"/>
  <c r="Z22" s="1"/>
  <c r="AA22" s="1"/>
  <c r="X22"/>
  <c r="Y22" s="1"/>
  <c r="AD21"/>
  <c r="AC21"/>
  <c r="X22" i="7"/>
  <c r="Y22" s="1"/>
  <c r="V22"/>
  <c r="W22" s="1"/>
  <c r="Z22" s="1"/>
  <c r="AA22" s="1"/>
  <c r="H23" i="1"/>
  <c r="I23" s="1"/>
  <c r="U23" s="1"/>
  <c r="H23" i="4"/>
  <c r="I23" s="1"/>
  <c r="U23" s="1"/>
  <c r="H23" i="7"/>
  <c r="I23" s="1"/>
  <c r="U23" s="1"/>
  <c r="H23" i="3"/>
  <c r="I23" s="1"/>
  <c r="U23" s="1"/>
  <c r="H22" i="2"/>
  <c r="I22" s="1"/>
  <c r="U22" s="1"/>
  <c r="F24" i="1"/>
  <c r="G24" s="1"/>
  <c r="J24" s="1"/>
  <c r="K24" s="1"/>
  <c r="F24" i="7"/>
  <c r="G24" s="1"/>
  <c r="AF24"/>
  <c r="F24" i="3"/>
  <c r="G24" s="1"/>
  <c r="L24" i="8"/>
  <c r="E24"/>
  <c r="D24"/>
  <c r="C24"/>
  <c r="B25"/>
  <c r="O24"/>
  <c r="F23"/>
  <c r="G23" s="1"/>
  <c r="AF23" i="6"/>
  <c r="F23"/>
  <c r="G23" s="1"/>
  <c r="F23" i="2"/>
  <c r="G23" s="1"/>
  <c r="J23" s="1"/>
  <c r="K23" s="1"/>
  <c r="M23"/>
  <c r="N23" i="4"/>
  <c r="P23"/>
  <c r="Q23" s="1"/>
  <c r="X23"/>
  <c r="Y23" s="1"/>
  <c r="O23"/>
  <c r="M24"/>
  <c r="V23" i="1"/>
  <c r="W23" s="1"/>
  <c r="T23"/>
  <c r="R22"/>
  <c r="S22" s="1"/>
  <c r="P23" i="7"/>
  <c r="Q23" s="1"/>
  <c r="J23"/>
  <c r="K23" s="1"/>
  <c r="R23" s="1"/>
  <c r="S23" s="1"/>
  <c r="R21" i="2"/>
  <c r="S21" s="1"/>
  <c r="Z21"/>
  <c r="AA21" s="1"/>
  <c r="C25" i="5"/>
  <c r="E25"/>
  <c r="O25"/>
  <c r="L25"/>
  <c r="B26"/>
  <c r="D25"/>
  <c r="P23" i="3"/>
  <c r="Q23" s="1"/>
  <c r="J23"/>
  <c r="K23" s="1"/>
  <c r="R23" s="1"/>
  <c r="S23" s="1"/>
  <c r="P22" i="8"/>
  <c r="Q22" s="1"/>
  <c r="J22"/>
  <c r="K22" s="1"/>
  <c r="R22" s="1"/>
  <c r="S22" s="1"/>
  <c r="N22" i="2"/>
  <c r="X22"/>
  <c r="Y22" s="1"/>
  <c r="P22"/>
  <c r="Q22" s="1"/>
  <c r="O22"/>
  <c r="AD21" i="1"/>
  <c r="AC21"/>
  <c r="H22" i="6"/>
  <c r="I22" s="1"/>
  <c r="U22" s="1"/>
  <c r="V22" i="5"/>
  <c r="W22" s="1"/>
  <c r="Z22" s="1"/>
  <c r="AA22" s="1"/>
  <c r="T22"/>
  <c r="X22"/>
  <c r="Y22" s="1"/>
  <c r="M24" i="1"/>
  <c r="T23" i="5"/>
  <c r="X23"/>
  <c r="Y23" s="1"/>
  <c r="V23"/>
  <c r="W23" s="1"/>
  <c r="Z23" s="1"/>
  <c r="AA23" s="1"/>
  <c r="V21" i="6"/>
  <c r="W21" s="1"/>
  <c r="Z21" s="1"/>
  <c r="AA21" s="1"/>
  <c r="X21"/>
  <c r="Y21" s="1"/>
  <c r="T21"/>
  <c r="B26" i="1"/>
  <c r="D25"/>
  <c r="C25"/>
  <c r="L25"/>
  <c r="E25"/>
  <c r="AD21" i="8"/>
  <c r="AC21"/>
  <c r="L25" i="7"/>
  <c r="E25"/>
  <c r="O25"/>
  <c r="B26"/>
  <c r="C25"/>
  <c r="D25"/>
  <c r="T23"/>
  <c r="AG23" s="1"/>
  <c r="V23"/>
  <c r="W23" s="1"/>
  <c r="Z23" s="1"/>
  <c r="AA23" s="1"/>
  <c r="X23"/>
  <c r="Y23" s="1"/>
  <c r="AC22"/>
  <c r="AD22"/>
  <c r="AC21" i="2"/>
  <c r="AD21"/>
  <c r="J23" i="5"/>
  <c r="K23" s="1"/>
  <c r="R23" s="1"/>
  <c r="S23" s="1"/>
  <c r="P23"/>
  <c r="Q23" s="1"/>
  <c r="B26" i="3"/>
  <c r="D25"/>
  <c r="E25"/>
  <c r="L25"/>
  <c r="C25"/>
  <c r="O25"/>
  <c r="AF23" i="8"/>
  <c r="B25" i="6"/>
  <c r="C24"/>
  <c r="E24"/>
  <c r="L24"/>
  <c r="D24"/>
  <c r="O24"/>
  <c r="L24" i="2"/>
  <c r="B25"/>
  <c r="E24"/>
  <c r="C24"/>
  <c r="D24"/>
  <c r="V23" i="4"/>
  <c r="W23" s="1"/>
  <c r="T23"/>
  <c r="F24"/>
  <c r="G24" s="1"/>
  <c r="J24" s="1"/>
  <c r="K24" s="1"/>
  <c r="C25"/>
  <c r="E25"/>
  <c r="L25"/>
  <c r="B26"/>
  <c r="D25"/>
  <c r="AD20" i="2"/>
  <c r="AC20"/>
  <c r="V22" i="1"/>
  <c r="W22" s="1"/>
  <c r="Z22" s="1"/>
  <c r="AA22" s="1"/>
  <c r="T22"/>
  <c r="N23"/>
  <c r="P23"/>
  <c r="Q23" s="1"/>
  <c r="O23"/>
  <c r="X23"/>
  <c r="Y23" s="1"/>
  <c r="R22" i="4"/>
  <c r="S22" s="1"/>
  <c r="Z22"/>
  <c r="AA22" s="1"/>
  <c r="F24" i="5"/>
  <c r="G24" s="1"/>
  <c r="J22" i="6"/>
  <c r="K22" s="1"/>
  <c r="R22" s="1"/>
  <c r="S22" s="1"/>
  <c r="P22"/>
  <c r="Q22" s="1"/>
  <c r="V22" i="2"/>
  <c r="W22" s="1"/>
  <c r="T22"/>
  <c r="AC22" i="4"/>
  <c r="AD22"/>
  <c r="AH21" i="8"/>
  <c r="AH22" i="7"/>
  <c r="H22" i="8"/>
  <c r="I22" s="1"/>
  <c r="U22" s="1"/>
  <c r="T22" s="1"/>
  <c r="H24" i="3" l="1"/>
  <c r="I24" s="1"/>
  <c r="U24" s="1"/>
  <c r="T24" s="1"/>
  <c r="AH22" i="8"/>
  <c r="AG22"/>
  <c r="AD22" i="3"/>
  <c r="AC22"/>
  <c r="X22" i="8"/>
  <c r="Y22" s="1"/>
  <c r="V23" i="3"/>
  <c r="W23" s="1"/>
  <c r="Z23" s="1"/>
  <c r="AA23" s="1"/>
  <c r="X23"/>
  <c r="Y23" s="1"/>
  <c r="T23"/>
  <c r="V22" i="8"/>
  <c r="W22" s="1"/>
  <c r="Z22" s="1"/>
  <c r="AA22" s="1"/>
  <c r="H23" i="2"/>
  <c r="I23" s="1"/>
  <c r="U23" s="1"/>
  <c r="H23" i="6"/>
  <c r="I23" s="1"/>
  <c r="U23" s="1"/>
  <c r="H24" i="7"/>
  <c r="I24" s="1"/>
  <c r="U24" s="1"/>
  <c r="P24" i="5"/>
  <c r="Q24" s="1"/>
  <c r="J24"/>
  <c r="K24" s="1"/>
  <c r="R24" s="1"/>
  <c r="S24" s="1"/>
  <c r="R23" i="1"/>
  <c r="S23" s="1"/>
  <c r="Z23"/>
  <c r="AA23" s="1"/>
  <c r="B27" i="4"/>
  <c r="E26"/>
  <c r="C26"/>
  <c r="L26"/>
  <c r="D26"/>
  <c r="F25"/>
  <c r="G25" s="1"/>
  <c r="J25" s="1"/>
  <c r="K25" s="1"/>
  <c r="AC23"/>
  <c r="AD23"/>
  <c r="F24" i="2"/>
  <c r="G24" s="1"/>
  <c r="J24" s="1"/>
  <c r="K24" s="1"/>
  <c r="M24"/>
  <c r="F24" i="6"/>
  <c r="G24" s="1"/>
  <c r="B26"/>
  <c r="C25"/>
  <c r="D25"/>
  <c r="L25"/>
  <c r="E25"/>
  <c r="O25"/>
  <c r="F25" i="3"/>
  <c r="G25" s="1"/>
  <c r="L26"/>
  <c r="C26"/>
  <c r="E26"/>
  <c r="B27"/>
  <c r="O26"/>
  <c r="D26"/>
  <c r="L26" i="7"/>
  <c r="E26"/>
  <c r="O26"/>
  <c r="C26"/>
  <c r="B27"/>
  <c r="D26"/>
  <c r="F25"/>
  <c r="G25" s="1"/>
  <c r="F25" i="1"/>
  <c r="G25" s="1"/>
  <c r="J25" s="1"/>
  <c r="K25" s="1"/>
  <c r="C26"/>
  <c r="L26"/>
  <c r="E26"/>
  <c r="B27"/>
  <c r="D26"/>
  <c r="AD23" i="5"/>
  <c r="AC23"/>
  <c r="N24" i="1"/>
  <c r="P24"/>
  <c r="Q24" s="1"/>
  <c r="O24"/>
  <c r="AC22" i="5"/>
  <c r="AD22"/>
  <c r="T22" i="6"/>
  <c r="V22"/>
  <c r="W22" s="1"/>
  <c r="Z22" s="1"/>
  <c r="AA22" s="1"/>
  <c r="X22"/>
  <c r="Y22" s="1"/>
  <c r="F25" i="5"/>
  <c r="G25" s="1"/>
  <c r="AD23" i="1"/>
  <c r="AC23"/>
  <c r="R23" i="4"/>
  <c r="S23" s="1"/>
  <c r="Z23"/>
  <c r="AA23" s="1"/>
  <c r="T23" i="2"/>
  <c r="V23"/>
  <c r="W23" s="1"/>
  <c r="P23" i="8"/>
  <c r="Q23" s="1"/>
  <c r="J23"/>
  <c r="K23" s="1"/>
  <c r="R23" s="1"/>
  <c r="S23" s="1"/>
  <c r="F24"/>
  <c r="G24" s="1"/>
  <c r="P24" i="3"/>
  <c r="Q24" s="1"/>
  <c r="J24"/>
  <c r="K24" s="1"/>
  <c r="R24" s="1"/>
  <c r="S24" s="1"/>
  <c r="AD22" i="2"/>
  <c r="AC22"/>
  <c r="AD22" i="1"/>
  <c r="AC22"/>
  <c r="M25" i="4"/>
  <c r="C25" i="2"/>
  <c r="D25"/>
  <c r="L25"/>
  <c r="B26"/>
  <c r="E25"/>
  <c r="AF24" i="6"/>
  <c r="AD23" i="7"/>
  <c r="AC23"/>
  <c r="AF25"/>
  <c r="M25" i="1"/>
  <c r="AD21" i="6"/>
  <c r="AC21"/>
  <c r="AH21"/>
  <c r="AG21"/>
  <c r="R22" i="2"/>
  <c r="S22" s="1"/>
  <c r="Z22"/>
  <c r="AA22" s="1"/>
  <c r="AC22" i="8"/>
  <c r="AD22"/>
  <c r="L26" i="5"/>
  <c r="C26"/>
  <c r="D26"/>
  <c r="O26"/>
  <c r="B27"/>
  <c r="E26"/>
  <c r="N24" i="4"/>
  <c r="P24"/>
  <c r="Q24" s="1"/>
  <c r="O24"/>
  <c r="N23" i="2"/>
  <c r="P23"/>
  <c r="Q23" s="1"/>
  <c r="X23"/>
  <c r="Y23" s="1"/>
  <c r="O23"/>
  <c r="P23" i="6"/>
  <c r="Q23" s="1"/>
  <c r="J23"/>
  <c r="K23" s="1"/>
  <c r="R23" s="1"/>
  <c r="S23" s="1"/>
  <c r="T23"/>
  <c r="V23"/>
  <c r="W23" s="1"/>
  <c r="Z23" s="1"/>
  <c r="AA23" s="1"/>
  <c r="X23"/>
  <c r="Y23" s="1"/>
  <c r="C25" i="8"/>
  <c r="B26"/>
  <c r="O25"/>
  <c r="L25"/>
  <c r="E25"/>
  <c r="D25"/>
  <c r="AF24"/>
  <c r="T24" i="7"/>
  <c r="AH24" s="1"/>
  <c r="V24"/>
  <c r="W24" s="1"/>
  <c r="Z24" s="1"/>
  <c r="AA24" s="1"/>
  <c r="X24"/>
  <c r="Y24" s="1"/>
  <c r="P24"/>
  <c r="Q24" s="1"/>
  <c r="J24"/>
  <c r="K24" s="1"/>
  <c r="R24" s="1"/>
  <c r="S24" s="1"/>
  <c r="H24" i="5"/>
  <c r="I24" s="1"/>
  <c r="U24" s="1"/>
  <c r="H24" i="4"/>
  <c r="I24" s="1"/>
  <c r="U24" s="1"/>
  <c r="X24" s="1"/>
  <c r="Y24" s="1"/>
  <c r="H23" i="8"/>
  <c r="I23" s="1"/>
  <c r="U23" s="1"/>
  <c r="T23" s="1"/>
  <c r="AH23" i="7"/>
  <c r="H24" i="1"/>
  <c r="I24" s="1"/>
  <c r="U24" s="1"/>
  <c r="V24" i="3" l="1"/>
  <c r="W24" s="1"/>
  <c r="Z24" s="1"/>
  <c r="AA24" s="1"/>
  <c r="X24"/>
  <c r="Y24" s="1"/>
  <c r="AD24"/>
  <c r="AC24"/>
  <c r="V23" i="8"/>
  <c r="W23" s="1"/>
  <c r="Z23" s="1"/>
  <c r="AA23" s="1"/>
  <c r="AD23" i="3"/>
  <c r="AC23"/>
  <c r="X23" i="8"/>
  <c r="Y23" s="1"/>
  <c r="T24" i="5"/>
  <c r="V24"/>
  <c r="W24" s="1"/>
  <c r="Z24" s="1"/>
  <c r="AA24" s="1"/>
  <c r="X24"/>
  <c r="Y24" s="1"/>
  <c r="H25" i="7"/>
  <c r="I25" s="1"/>
  <c r="U25" s="1"/>
  <c r="H25" i="3"/>
  <c r="I25" s="1"/>
  <c r="U25" s="1"/>
  <c r="V24" i="1"/>
  <c r="W24" s="1"/>
  <c r="T24"/>
  <c r="AF25" i="8"/>
  <c r="L26"/>
  <c r="C26"/>
  <c r="O26"/>
  <c r="B27"/>
  <c r="D26"/>
  <c r="E26"/>
  <c r="AD23" i="6"/>
  <c r="AC23"/>
  <c r="L27" i="5"/>
  <c r="C27"/>
  <c r="D27"/>
  <c r="O27"/>
  <c r="B28"/>
  <c r="E27"/>
  <c r="V25" i="7"/>
  <c r="W25" s="1"/>
  <c r="Z25" s="1"/>
  <c r="AA25" s="1"/>
  <c r="T25"/>
  <c r="X25"/>
  <c r="Y25" s="1"/>
  <c r="AD23" i="8"/>
  <c r="AC23"/>
  <c r="L26" i="2"/>
  <c r="B27"/>
  <c r="D26"/>
  <c r="C26"/>
  <c r="E26"/>
  <c r="AD23"/>
  <c r="AC23"/>
  <c r="AC22" i="6"/>
  <c r="AD22"/>
  <c r="AH22"/>
  <c r="AG22"/>
  <c r="Z24" i="1"/>
  <c r="AA24" s="1"/>
  <c r="R24"/>
  <c r="S24" s="1"/>
  <c r="L27"/>
  <c r="B28"/>
  <c r="D27"/>
  <c r="C27"/>
  <c r="E27"/>
  <c r="M26"/>
  <c r="J25" i="7"/>
  <c r="K25" s="1"/>
  <c r="R25" s="1"/>
  <c r="S25" s="1"/>
  <c r="P25"/>
  <c r="Q25" s="1"/>
  <c r="F26"/>
  <c r="G26" s="1"/>
  <c r="B28" i="3"/>
  <c r="E27"/>
  <c r="O27"/>
  <c r="L27"/>
  <c r="C27"/>
  <c r="D27"/>
  <c r="J25"/>
  <c r="K25" s="1"/>
  <c r="R25" s="1"/>
  <c r="S25" s="1"/>
  <c r="P25"/>
  <c r="Q25" s="1"/>
  <c r="AF25" i="6"/>
  <c r="C27" i="4"/>
  <c r="L27"/>
  <c r="D27"/>
  <c r="B28"/>
  <c r="E27"/>
  <c r="H24" i="8"/>
  <c r="I24" s="1"/>
  <c r="U24" s="1"/>
  <c r="AH23" i="6"/>
  <c r="H25" i="5"/>
  <c r="I25" s="1"/>
  <c r="U25" s="1"/>
  <c r="AH23" i="8"/>
  <c r="H24" i="6"/>
  <c r="I24" s="1"/>
  <c r="U24" s="1"/>
  <c r="T24" s="1"/>
  <c r="H24" i="2"/>
  <c r="I24" s="1"/>
  <c r="U24" s="1"/>
  <c r="H25" i="4"/>
  <c r="I25" s="1"/>
  <c r="U25" s="1"/>
  <c r="V24"/>
  <c r="W24" s="1"/>
  <c r="Z24" s="1"/>
  <c r="AA24" s="1"/>
  <c r="T24"/>
  <c r="AD24" i="7"/>
  <c r="AC24"/>
  <c r="T24" i="8"/>
  <c r="V24"/>
  <c r="W24" s="1"/>
  <c r="Z24" s="1"/>
  <c r="AA24" s="1"/>
  <c r="X24"/>
  <c r="Y24" s="1"/>
  <c r="F25"/>
  <c r="G25" s="1"/>
  <c r="R23" i="2"/>
  <c r="S23" s="1"/>
  <c r="Z23"/>
  <c r="AA23" s="1"/>
  <c r="R24" i="4"/>
  <c r="S24" s="1"/>
  <c r="F26" i="5"/>
  <c r="G26" s="1"/>
  <c r="O25" i="1"/>
  <c r="P25"/>
  <c r="Q25" s="1"/>
  <c r="N25"/>
  <c r="AG25" i="7"/>
  <c r="AH25"/>
  <c r="F25" i="2"/>
  <c r="G25" s="1"/>
  <c r="J25" s="1"/>
  <c r="K25" s="1"/>
  <c r="M25"/>
  <c r="P25" i="4"/>
  <c r="Q25" s="1"/>
  <c r="O25"/>
  <c r="X25"/>
  <c r="Y25" s="1"/>
  <c r="N25"/>
  <c r="P24" i="8"/>
  <c r="Q24" s="1"/>
  <c r="J24"/>
  <c r="K24" s="1"/>
  <c r="R24" s="1"/>
  <c r="S24" s="1"/>
  <c r="J25" i="5"/>
  <c r="K25" s="1"/>
  <c r="R25" s="1"/>
  <c r="S25" s="1"/>
  <c r="P25"/>
  <c r="Q25" s="1"/>
  <c r="F26" i="1"/>
  <c r="G26" s="1"/>
  <c r="J26" s="1"/>
  <c r="K26" s="1"/>
  <c r="C27" i="7"/>
  <c r="B28"/>
  <c r="D27"/>
  <c r="L27"/>
  <c r="E27"/>
  <c r="O27"/>
  <c r="AF26"/>
  <c r="F26" i="3"/>
  <c r="G26" s="1"/>
  <c r="F25" i="6"/>
  <c r="G25" s="1"/>
  <c r="C26"/>
  <c r="L26"/>
  <c r="D26"/>
  <c r="B27"/>
  <c r="E26"/>
  <c r="O26"/>
  <c r="J24"/>
  <c r="K24" s="1"/>
  <c r="R24" s="1"/>
  <c r="S24" s="1"/>
  <c r="P24"/>
  <c r="Q24" s="1"/>
  <c r="P24" i="2"/>
  <c r="Q24" s="1"/>
  <c r="X24"/>
  <c r="Y24" s="1"/>
  <c r="O24"/>
  <c r="N24"/>
  <c r="M26" i="4"/>
  <c r="F26"/>
  <c r="G26" s="1"/>
  <c r="J26" s="1"/>
  <c r="K26" s="1"/>
  <c r="AG24" i="7"/>
  <c r="AG23" i="6"/>
  <c r="X24" i="1"/>
  <c r="Y24" s="1"/>
  <c r="H25"/>
  <c r="I25" s="1"/>
  <c r="U25" s="1"/>
  <c r="X25" s="1"/>
  <c r="Y25" s="1"/>
  <c r="AG23" i="8"/>
  <c r="AH24" i="6" l="1"/>
  <c r="AG24"/>
  <c r="T25" i="5"/>
  <c r="V25"/>
  <c r="W25" s="1"/>
  <c r="Z25" s="1"/>
  <c r="AA25" s="1"/>
  <c r="X25"/>
  <c r="Y25" s="1"/>
  <c r="X24" i="6"/>
  <c r="Y24" s="1"/>
  <c r="V24"/>
  <c r="W24" s="1"/>
  <c r="Z24" s="1"/>
  <c r="AA24" s="1"/>
  <c r="T25" i="3"/>
  <c r="V25"/>
  <c r="W25" s="1"/>
  <c r="Z25" s="1"/>
  <c r="AA25" s="1"/>
  <c r="X25"/>
  <c r="Y25" s="1"/>
  <c r="AD24" i="5"/>
  <c r="AC24"/>
  <c r="H25" i="6"/>
  <c r="I25" s="1"/>
  <c r="U25" s="1"/>
  <c r="H26" i="4"/>
  <c r="I26" s="1"/>
  <c r="U26" s="1"/>
  <c r="V26" s="1"/>
  <c r="W26" s="1"/>
  <c r="H26" i="7"/>
  <c r="I26" s="1"/>
  <c r="U26" s="1"/>
  <c r="H26" i="1"/>
  <c r="I26" s="1"/>
  <c r="U26" s="1"/>
  <c r="T26" s="1"/>
  <c r="H25" i="8"/>
  <c r="I25" s="1"/>
  <c r="U25" s="1"/>
  <c r="V26" i="1"/>
  <c r="W26" s="1"/>
  <c r="N26" i="4"/>
  <c r="P26"/>
  <c r="Q26" s="1"/>
  <c r="O26"/>
  <c r="X26"/>
  <c r="Y26" s="1"/>
  <c r="R24" i="2"/>
  <c r="S24" s="1"/>
  <c r="F26" i="6"/>
  <c r="G26" s="1"/>
  <c r="P25"/>
  <c r="Q25" s="1"/>
  <c r="J25"/>
  <c r="K25" s="1"/>
  <c r="R25" s="1"/>
  <c r="S25" s="1"/>
  <c r="V26" i="7"/>
  <c r="W26" s="1"/>
  <c r="Z26" s="1"/>
  <c r="AA26" s="1"/>
  <c r="T26"/>
  <c r="X26"/>
  <c r="Y26" s="1"/>
  <c r="AF27"/>
  <c r="C28"/>
  <c r="L28"/>
  <c r="D28"/>
  <c r="B29"/>
  <c r="E28"/>
  <c r="O28"/>
  <c r="R25" i="4"/>
  <c r="S25" s="1"/>
  <c r="AD24" i="8"/>
  <c r="AC24"/>
  <c r="V24" i="2"/>
  <c r="W24" s="1"/>
  <c r="Z24" s="1"/>
  <c r="AA24" s="1"/>
  <c r="T24"/>
  <c r="B29" i="4"/>
  <c r="D28"/>
  <c r="C28"/>
  <c r="L28"/>
  <c r="E28"/>
  <c r="M27"/>
  <c r="F27" i="3"/>
  <c r="G27" s="1"/>
  <c r="F27" i="1"/>
  <c r="G27" s="1"/>
  <c r="J27" s="1"/>
  <c r="K27" s="1"/>
  <c r="M27"/>
  <c r="C27" i="2"/>
  <c r="E27"/>
  <c r="L27"/>
  <c r="B28"/>
  <c r="D27"/>
  <c r="AC25" i="7"/>
  <c r="AD25"/>
  <c r="B29" i="5"/>
  <c r="D28"/>
  <c r="L28"/>
  <c r="C28"/>
  <c r="E28"/>
  <c r="O28"/>
  <c r="AF26" i="8"/>
  <c r="H26" i="3"/>
  <c r="I26" s="1"/>
  <c r="U26" s="1"/>
  <c r="H25" i="2"/>
  <c r="I25" s="1"/>
  <c r="U25" s="1"/>
  <c r="H26" i="5"/>
  <c r="I26" s="1"/>
  <c r="U26" s="1"/>
  <c r="AH24" i="8"/>
  <c r="V25" i="1"/>
  <c r="W25" s="1"/>
  <c r="T25"/>
  <c r="C27" i="6"/>
  <c r="D27"/>
  <c r="O27"/>
  <c r="L27"/>
  <c r="B28"/>
  <c r="E27"/>
  <c r="AF26"/>
  <c r="P26" i="3"/>
  <c r="Q26" s="1"/>
  <c r="J26"/>
  <c r="K26" s="1"/>
  <c r="R26" s="1"/>
  <c r="S26" s="1"/>
  <c r="AG26" i="7"/>
  <c r="AH26"/>
  <c r="F27"/>
  <c r="G27" s="1"/>
  <c r="P25" i="2"/>
  <c r="Q25" s="1"/>
  <c r="O25"/>
  <c r="N25"/>
  <c r="X25"/>
  <c r="Y25" s="1"/>
  <c r="Z25" i="1"/>
  <c r="AA25" s="1"/>
  <c r="R25"/>
  <c r="S25" s="1"/>
  <c r="J26" i="5"/>
  <c r="K26" s="1"/>
  <c r="R26" s="1"/>
  <c r="S26" s="1"/>
  <c r="P26"/>
  <c r="Q26" s="1"/>
  <c r="J25" i="8"/>
  <c r="K25" s="1"/>
  <c r="R25" s="1"/>
  <c r="S25" s="1"/>
  <c r="P25"/>
  <c r="Q25" s="1"/>
  <c r="AC24" i="4"/>
  <c r="AD24"/>
  <c r="V25"/>
  <c r="W25" s="1"/>
  <c r="Z25" s="1"/>
  <c r="AA25" s="1"/>
  <c r="T25"/>
  <c r="F27"/>
  <c r="G27" s="1"/>
  <c r="J27" s="1"/>
  <c r="K27" s="1"/>
  <c r="V25" i="6"/>
  <c r="W25" s="1"/>
  <c r="Z25" s="1"/>
  <c r="AA25" s="1"/>
  <c r="T25"/>
  <c r="X25"/>
  <c r="Y25" s="1"/>
  <c r="L28" i="3"/>
  <c r="U28" s="1"/>
  <c r="C28"/>
  <c r="D28"/>
  <c r="B29"/>
  <c r="E28"/>
  <c r="O28"/>
  <c r="P26" i="7"/>
  <c r="Q26" s="1"/>
  <c r="J26"/>
  <c r="K26" s="1"/>
  <c r="R26" s="1"/>
  <c r="S26" s="1"/>
  <c r="X26" i="1"/>
  <c r="Y26" s="1"/>
  <c r="P26"/>
  <c r="Q26" s="1"/>
  <c r="O26"/>
  <c r="N26"/>
  <c r="B29"/>
  <c r="E28"/>
  <c r="C28"/>
  <c r="L28"/>
  <c r="D28"/>
  <c r="F26" i="2"/>
  <c r="G26" s="1"/>
  <c r="J26" s="1"/>
  <c r="K26" s="1"/>
  <c r="M26"/>
  <c r="AD24" i="6"/>
  <c r="AC24"/>
  <c r="F27" i="5"/>
  <c r="G27" s="1"/>
  <c r="F26" i="8"/>
  <c r="G26" s="1"/>
  <c r="B28"/>
  <c r="C27"/>
  <c r="D27"/>
  <c r="L27"/>
  <c r="O27"/>
  <c r="E27"/>
  <c r="X25"/>
  <c r="Y25" s="1"/>
  <c r="T25"/>
  <c r="V25"/>
  <c r="W25" s="1"/>
  <c r="Z25" s="1"/>
  <c r="AA25" s="1"/>
  <c r="AC24" i="1"/>
  <c r="AD24"/>
  <c r="AG24" i="8"/>
  <c r="H27" i="3" l="1"/>
  <c r="I27" s="1"/>
  <c r="U27" s="1"/>
  <c r="X27" s="1"/>
  <c r="Y27" s="1"/>
  <c r="AC25" i="5"/>
  <c r="AD25"/>
  <c r="V26"/>
  <c r="W26" s="1"/>
  <c r="Z26" s="1"/>
  <c r="AA26" s="1"/>
  <c r="T26"/>
  <c r="X26"/>
  <c r="Y26" s="1"/>
  <c r="V26" i="3"/>
  <c r="W26" s="1"/>
  <c r="Z26" s="1"/>
  <c r="AA26" s="1"/>
  <c r="X26"/>
  <c r="Y26" s="1"/>
  <c r="T26"/>
  <c r="AC25"/>
  <c r="AD25"/>
  <c r="T26" i="4"/>
  <c r="H26" i="8"/>
  <c r="I26" s="1"/>
  <c r="U26" s="1"/>
  <c r="H26" i="6"/>
  <c r="I26" s="1"/>
  <c r="U26" s="1"/>
  <c r="AD25" i="8"/>
  <c r="AC25"/>
  <c r="P27" i="5"/>
  <c r="Q27" s="1"/>
  <c r="J27"/>
  <c r="K27" s="1"/>
  <c r="R27" s="1"/>
  <c r="S27" s="1"/>
  <c r="B30" i="1"/>
  <c r="D29"/>
  <c r="C29"/>
  <c r="L29"/>
  <c r="E29"/>
  <c r="R26"/>
  <c r="S26" s="1"/>
  <c r="Z26"/>
  <c r="AA26" s="1"/>
  <c r="F28" i="3"/>
  <c r="G28" s="1"/>
  <c r="V28"/>
  <c r="W28" s="1"/>
  <c r="T28"/>
  <c r="AD28" s="1"/>
  <c r="X28"/>
  <c r="Y28" s="1"/>
  <c r="AD25" i="6"/>
  <c r="AC25"/>
  <c r="AD25" i="4"/>
  <c r="AC25"/>
  <c r="R25" i="2"/>
  <c r="S25" s="1"/>
  <c r="J27" i="7"/>
  <c r="K27" s="1"/>
  <c r="R27" s="1"/>
  <c r="S27" s="1"/>
  <c r="P27"/>
  <c r="Q27" s="1"/>
  <c r="V26" i="6"/>
  <c r="W26" s="1"/>
  <c r="Z26" s="1"/>
  <c r="AA26" s="1"/>
  <c r="T26"/>
  <c r="X26"/>
  <c r="Y26" s="1"/>
  <c r="F27"/>
  <c r="G27" s="1"/>
  <c r="AF27"/>
  <c r="AC25" i="1"/>
  <c r="AD25"/>
  <c r="V25" i="2"/>
  <c r="W25" s="1"/>
  <c r="Z25" s="1"/>
  <c r="AA25" s="1"/>
  <c r="T25"/>
  <c r="F28" i="5"/>
  <c r="G28" s="1"/>
  <c r="B30"/>
  <c r="D29"/>
  <c r="L29"/>
  <c r="C29"/>
  <c r="E29"/>
  <c r="O29"/>
  <c r="L28" i="2"/>
  <c r="B29"/>
  <c r="E28"/>
  <c r="C28"/>
  <c r="D28"/>
  <c r="F27"/>
  <c r="G27" s="1"/>
  <c r="J27" s="1"/>
  <c r="K27" s="1"/>
  <c r="N27" i="1"/>
  <c r="P27"/>
  <c r="Q27" s="1"/>
  <c r="O27"/>
  <c r="J27" i="3"/>
  <c r="K27" s="1"/>
  <c r="R27" s="1"/>
  <c r="S27" s="1"/>
  <c r="P27"/>
  <c r="Q27" s="1"/>
  <c r="M28" i="4"/>
  <c r="AD24" i="2"/>
  <c r="AC24"/>
  <c r="B30" i="7"/>
  <c r="E29"/>
  <c r="O29"/>
  <c r="C29"/>
  <c r="L29"/>
  <c r="D29"/>
  <c r="AF28"/>
  <c r="J26" i="6"/>
  <c r="K26" s="1"/>
  <c r="R26" s="1"/>
  <c r="S26" s="1"/>
  <c r="P26"/>
  <c r="Q26" s="1"/>
  <c r="Z26" i="4"/>
  <c r="AA26" s="1"/>
  <c r="R26"/>
  <c r="S26" s="1"/>
  <c r="AG25" i="8"/>
  <c r="H27" i="1"/>
  <c r="I27" s="1"/>
  <c r="U27" s="1"/>
  <c r="X27" s="1"/>
  <c r="Y27" s="1"/>
  <c r="AH25" i="6"/>
  <c r="F27" i="8"/>
  <c r="G27" s="1"/>
  <c r="AF27"/>
  <c r="C28"/>
  <c r="B29"/>
  <c r="E28"/>
  <c r="L28"/>
  <c r="O28"/>
  <c r="D28"/>
  <c r="P26"/>
  <c r="Q26" s="1"/>
  <c r="J26"/>
  <c r="K26" s="1"/>
  <c r="R26" s="1"/>
  <c r="S26" s="1"/>
  <c r="N26" i="2"/>
  <c r="P26"/>
  <c r="Q26" s="1"/>
  <c r="O26"/>
  <c r="M28" i="1"/>
  <c r="F28"/>
  <c r="G28" s="1"/>
  <c r="J28" s="1"/>
  <c r="K28" s="1"/>
  <c r="Z28" i="3"/>
  <c r="AA28" s="1"/>
  <c r="B30"/>
  <c r="E29"/>
  <c r="O29"/>
  <c r="L29"/>
  <c r="U29" s="1"/>
  <c r="C29"/>
  <c r="D29"/>
  <c r="AG26" i="6"/>
  <c r="AH26"/>
  <c r="L28"/>
  <c r="E28"/>
  <c r="O28"/>
  <c r="B29"/>
  <c r="C28"/>
  <c r="D28"/>
  <c r="T26" i="8"/>
  <c r="AH26" s="1"/>
  <c r="V26"/>
  <c r="W26" s="1"/>
  <c r="Z26" s="1"/>
  <c r="AA26" s="1"/>
  <c r="X26"/>
  <c r="Y26" s="1"/>
  <c r="M27" i="2"/>
  <c r="O27" i="4"/>
  <c r="P27"/>
  <c r="Q27" s="1"/>
  <c r="N27"/>
  <c r="F28"/>
  <c r="G28" s="1"/>
  <c r="J28" s="1"/>
  <c r="K28" s="1"/>
  <c r="L29"/>
  <c r="B30"/>
  <c r="E29"/>
  <c r="C29"/>
  <c r="D29"/>
  <c r="F28" i="7"/>
  <c r="G28" s="1"/>
  <c r="AC26"/>
  <c r="AD26"/>
  <c r="AD26" i="4"/>
  <c r="AC26"/>
  <c r="AD26" i="1"/>
  <c r="AC26"/>
  <c r="H27" i="5"/>
  <c r="I27" s="1"/>
  <c r="U27" s="1"/>
  <c r="H26" i="2"/>
  <c r="I26" s="1"/>
  <c r="U26" s="1"/>
  <c r="H27" i="4"/>
  <c r="I27" s="1"/>
  <c r="U27" s="1"/>
  <c r="H27" i="7"/>
  <c r="I27" s="1"/>
  <c r="U27" s="1"/>
  <c r="T27" s="1"/>
  <c r="AH25" i="8"/>
  <c r="AG25" i="6"/>
  <c r="T27" i="3" l="1"/>
  <c r="V27"/>
  <c r="W27" s="1"/>
  <c r="Z27" s="1"/>
  <c r="AA27" s="1"/>
  <c r="AH27" i="7"/>
  <c r="AG27"/>
  <c r="X27"/>
  <c r="Y27" s="1"/>
  <c r="V27" i="5"/>
  <c r="W27" s="1"/>
  <c r="Z27" s="1"/>
  <c r="AA27" s="1"/>
  <c r="T27"/>
  <c r="X27"/>
  <c r="Y27" s="1"/>
  <c r="AC26" i="3"/>
  <c r="AD26"/>
  <c r="AD26" i="5"/>
  <c r="AC26"/>
  <c r="AC27" i="3"/>
  <c r="AD27"/>
  <c r="V27" i="7"/>
  <c r="W27" s="1"/>
  <c r="Z27" s="1"/>
  <c r="AA27" s="1"/>
  <c r="H27" i="8"/>
  <c r="I27" s="1"/>
  <c r="U27" s="1"/>
  <c r="H28" i="7"/>
  <c r="I28" s="1"/>
  <c r="U28" s="1"/>
  <c r="H28" i="4"/>
  <c r="I28" s="1"/>
  <c r="U28" s="1"/>
  <c r="H27" i="2"/>
  <c r="I27" s="1"/>
  <c r="U27" s="1"/>
  <c r="T26"/>
  <c r="V26"/>
  <c r="W26" s="1"/>
  <c r="F29" i="4"/>
  <c r="G29" s="1"/>
  <c r="J29" s="1"/>
  <c r="K29" s="1"/>
  <c r="M29"/>
  <c r="R27"/>
  <c r="S27" s="1"/>
  <c r="N27" i="2"/>
  <c r="P27"/>
  <c r="Q27" s="1"/>
  <c r="X27"/>
  <c r="Y27" s="1"/>
  <c r="O27"/>
  <c r="L29" i="6"/>
  <c r="D29"/>
  <c r="O29"/>
  <c r="B30"/>
  <c r="C29"/>
  <c r="E29"/>
  <c r="F28"/>
  <c r="G28" s="1"/>
  <c r="V29" i="3"/>
  <c r="W29" s="1"/>
  <c r="T29"/>
  <c r="AD29" s="1"/>
  <c r="X29"/>
  <c r="Y29" s="1"/>
  <c r="F29"/>
  <c r="G29" s="1"/>
  <c r="R26" i="2"/>
  <c r="S26" s="1"/>
  <c r="Z26"/>
  <c r="AA26" s="1"/>
  <c r="AF28" i="8"/>
  <c r="C29"/>
  <c r="B30"/>
  <c r="D29"/>
  <c r="L29"/>
  <c r="O29"/>
  <c r="E29"/>
  <c r="V27"/>
  <c r="W27" s="1"/>
  <c r="Z27" s="1"/>
  <c r="AA27" s="1"/>
  <c r="X27"/>
  <c r="Y27" s="1"/>
  <c r="T27"/>
  <c r="V28" i="7"/>
  <c r="W28" s="1"/>
  <c r="Z28" s="1"/>
  <c r="AA28" s="1"/>
  <c r="X28"/>
  <c r="Y28" s="1"/>
  <c r="T28"/>
  <c r="F29"/>
  <c r="G29" s="1"/>
  <c r="V28" i="4"/>
  <c r="W28" s="1"/>
  <c r="T28"/>
  <c r="F28" i="2"/>
  <c r="G28" s="1"/>
  <c r="J28" s="1"/>
  <c r="K28" s="1"/>
  <c r="M28"/>
  <c r="F29" i="5"/>
  <c r="G29" s="1"/>
  <c r="E30"/>
  <c r="O30"/>
  <c r="L30"/>
  <c r="C30"/>
  <c r="D30"/>
  <c r="AD25" i="2"/>
  <c r="AC25"/>
  <c r="F29" i="1"/>
  <c r="G29" s="1"/>
  <c r="J29" s="1"/>
  <c r="K29" s="1"/>
  <c r="C30"/>
  <c r="D30"/>
  <c r="L30"/>
  <c r="E30"/>
  <c r="H28" i="5"/>
  <c r="I28" s="1"/>
  <c r="U28" s="1"/>
  <c r="H27" i="6"/>
  <c r="I27" s="1"/>
  <c r="U27" s="1"/>
  <c r="AC28" i="3"/>
  <c r="T27" i="4"/>
  <c r="V27"/>
  <c r="W27" s="1"/>
  <c r="Z27" s="1"/>
  <c r="AA27" s="1"/>
  <c r="P28" i="7"/>
  <c r="Q28" s="1"/>
  <c r="J28"/>
  <c r="K28" s="1"/>
  <c r="R28" s="1"/>
  <c r="S28" s="1"/>
  <c r="C30" i="4"/>
  <c r="D30"/>
  <c r="L30"/>
  <c r="E30"/>
  <c r="T27" i="2"/>
  <c r="V27"/>
  <c r="W27" s="1"/>
  <c r="AD26" i="8"/>
  <c r="AC26"/>
  <c r="AF28" i="6"/>
  <c r="Z29" i="3"/>
  <c r="AA29" s="1"/>
  <c r="O30"/>
  <c r="D30"/>
  <c r="L30"/>
  <c r="U30" s="1"/>
  <c r="C30"/>
  <c r="E30"/>
  <c r="N28" i="1"/>
  <c r="P28"/>
  <c r="Q28" s="1"/>
  <c r="O28"/>
  <c r="F28" i="8"/>
  <c r="G28" s="1"/>
  <c r="AH27"/>
  <c r="AG27"/>
  <c r="J27"/>
  <c r="K27" s="1"/>
  <c r="R27" s="1"/>
  <c r="S27" s="1"/>
  <c r="P27"/>
  <c r="Q27" s="1"/>
  <c r="V27" i="1"/>
  <c r="W27" s="1"/>
  <c r="T27"/>
  <c r="AC27" i="7"/>
  <c r="AD27"/>
  <c r="AH28"/>
  <c r="AG28"/>
  <c r="AF29"/>
  <c r="C30"/>
  <c r="E30"/>
  <c r="L30"/>
  <c r="D30"/>
  <c r="O30"/>
  <c r="N28" i="4"/>
  <c r="X28"/>
  <c r="Y28" s="1"/>
  <c r="P28"/>
  <c r="Q28" s="1"/>
  <c r="O28"/>
  <c r="R27" i="1"/>
  <c r="S27" s="1"/>
  <c r="Z27"/>
  <c r="AA27" s="1"/>
  <c r="C29" i="2"/>
  <c r="D29"/>
  <c r="L29"/>
  <c r="B30"/>
  <c r="E29"/>
  <c r="J28" i="5"/>
  <c r="K28" s="1"/>
  <c r="R28" s="1"/>
  <c r="S28" s="1"/>
  <c r="P28"/>
  <c r="Q28" s="1"/>
  <c r="X27" i="6"/>
  <c r="Y27" s="1"/>
  <c r="T27"/>
  <c r="V27"/>
  <c r="W27" s="1"/>
  <c r="Z27" s="1"/>
  <c r="AA27" s="1"/>
  <c r="P27"/>
  <c r="Q27" s="1"/>
  <c r="J27"/>
  <c r="K27" s="1"/>
  <c r="R27" s="1"/>
  <c r="S27" s="1"/>
  <c r="AD26"/>
  <c r="AC26"/>
  <c r="P28" i="3"/>
  <c r="Q28" s="1"/>
  <c r="J28"/>
  <c r="K28" s="1"/>
  <c r="R28" s="1"/>
  <c r="S28" s="1"/>
  <c r="M29" i="1"/>
  <c r="X27" i="4"/>
  <c r="Y27" s="1"/>
  <c r="H28" i="1"/>
  <c r="I28" s="1"/>
  <c r="U28" s="1"/>
  <c r="X28" s="1"/>
  <c r="Y28" s="1"/>
  <c r="X26" i="2"/>
  <c r="Y26" s="1"/>
  <c r="AG26" i="8"/>
  <c r="H28" i="3"/>
  <c r="I28" s="1"/>
  <c r="AC27" i="5" l="1"/>
  <c r="AD27"/>
  <c r="T28"/>
  <c r="X28"/>
  <c r="Y28" s="1"/>
  <c r="V28"/>
  <c r="W28" s="1"/>
  <c r="Z28" s="1"/>
  <c r="AA28" s="1"/>
  <c r="H29" i="1"/>
  <c r="I29" s="1"/>
  <c r="U29" s="1"/>
  <c r="H29" i="3"/>
  <c r="I29" s="1"/>
  <c r="H29" i="4"/>
  <c r="I29" s="1"/>
  <c r="U29" s="1"/>
  <c r="H28" i="2"/>
  <c r="I28" s="1"/>
  <c r="U28" s="1"/>
  <c r="H29" i="7"/>
  <c r="I29" s="1"/>
  <c r="U29" s="1"/>
  <c r="X29" i="1"/>
  <c r="Y29" s="1"/>
  <c r="N29"/>
  <c r="O29"/>
  <c r="P29"/>
  <c r="Q29" s="1"/>
  <c r="AD27" i="6"/>
  <c r="AC27"/>
  <c r="F29" i="2"/>
  <c r="G29" s="1"/>
  <c r="J29" s="1"/>
  <c r="K29" s="1"/>
  <c r="M29"/>
  <c r="F30" i="7"/>
  <c r="G30" s="1"/>
  <c r="AC27" i="1"/>
  <c r="AD27"/>
  <c r="P28" i="8"/>
  <c r="Q28" s="1"/>
  <c r="J28"/>
  <c r="K28" s="1"/>
  <c r="R28" s="1"/>
  <c r="S28" s="1"/>
  <c r="F30" i="3"/>
  <c r="G30" s="1"/>
  <c r="V30"/>
  <c r="W30" s="1"/>
  <c r="Z30" s="1"/>
  <c r="AA30" s="1"/>
  <c r="T30"/>
  <c r="AC30" s="1"/>
  <c r="X30"/>
  <c r="Y30" s="1"/>
  <c r="AD27" i="2"/>
  <c r="AC27"/>
  <c r="M30" i="4"/>
  <c r="AC27"/>
  <c r="AD27"/>
  <c r="F30" i="1"/>
  <c r="G30" s="1"/>
  <c r="J30" s="1"/>
  <c r="K30" s="1"/>
  <c r="F30" i="5"/>
  <c r="G30" s="1"/>
  <c r="H30"/>
  <c r="I30" s="1"/>
  <c r="U30" s="1"/>
  <c r="J29"/>
  <c r="K29" s="1"/>
  <c r="R29" s="1"/>
  <c r="S29" s="1"/>
  <c r="P29"/>
  <c r="Q29" s="1"/>
  <c r="T28" i="2"/>
  <c r="V28"/>
  <c r="W28" s="1"/>
  <c r="AD28" i="4"/>
  <c r="AC28"/>
  <c r="P29" i="7"/>
  <c r="Q29" s="1"/>
  <c r="J29"/>
  <c r="K29" s="1"/>
  <c r="R29" s="1"/>
  <c r="S29" s="1"/>
  <c r="AC28"/>
  <c r="AD28"/>
  <c r="F29" i="8"/>
  <c r="G29" s="1"/>
  <c r="AF29"/>
  <c r="C30"/>
  <c r="E30"/>
  <c r="L30"/>
  <c r="D30"/>
  <c r="O30"/>
  <c r="AF29" i="6"/>
  <c r="V29" i="4"/>
  <c r="W29" s="1"/>
  <c r="T29"/>
  <c r="AC26" i="2"/>
  <c r="AD26"/>
  <c r="AG27" i="6"/>
  <c r="H29" i="5"/>
  <c r="I29" s="1"/>
  <c r="U29" s="1"/>
  <c r="AC29" i="3"/>
  <c r="H28" i="6"/>
  <c r="I28" s="1"/>
  <c r="U28" s="1"/>
  <c r="V28" i="1"/>
  <c r="W28" s="1"/>
  <c r="T28"/>
  <c r="V29"/>
  <c r="W29" s="1"/>
  <c r="T29"/>
  <c r="C30" i="2"/>
  <c r="E30"/>
  <c r="L30"/>
  <c r="D30"/>
  <c r="R28" i="4"/>
  <c r="S28" s="1"/>
  <c r="Z28"/>
  <c r="AA28" s="1"/>
  <c r="AF30" i="7"/>
  <c r="V29"/>
  <c r="W29" s="1"/>
  <c r="Z29" s="1"/>
  <c r="AA29" s="1"/>
  <c r="X29"/>
  <c r="Y29" s="1"/>
  <c r="T29"/>
  <c r="AG29" s="1"/>
  <c r="R28" i="1"/>
  <c r="S28" s="1"/>
  <c r="Z28"/>
  <c r="AA28" s="1"/>
  <c r="T28" i="6"/>
  <c r="X28"/>
  <c r="Y28" s="1"/>
  <c r="V28"/>
  <c r="W28" s="1"/>
  <c r="Z28" s="1"/>
  <c r="AA28" s="1"/>
  <c r="F30" i="4"/>
  <c r="G30" s="1"/>
  <c r="J30" s="1"/>
  <c r="K30" s="1"/>
  <c r="M30" i="1"/>
  <c r="N28" i="2"/>
  <c r="P28"/>
  <c r="Q28" s="1"/>
  <c r="X28"/>
  <c r="Y28" s="1"/>
  <c r="O28"/>
  <c r="AD27" i="8"/>
  <c r="AC27"/>
  <c r="P29" i="3"/>
  <c r="Q29" s="1"/>
  <c r="J29"/>
  <c r="K29" s="1"/>
  <c r="R29" s="1"/>
  <c r="S29" s="1"/>
  <c r="J28" i="6"/>
  <c r="K28" s="1"/>
  <c r="R28" s="1"/>
  <c r="S28" s="1"/>
  <c r="P28"/>
  <c r="Q28" s="1"/>
  <c r="F29"/>
  <c r="G29" s="1"/>
  <c r="L30"/>
  <c r="E30"/>
  <c r="C30"/>
  <c r="D30"/>
  <c r="O30"/>
  <c r="Z27" i="2"/>
  <c r="AA27" s="1"/>
  <c r="R27"/>
  <c r="S27" s="1"/>
  <c r="P29" i="4"/>
  <c r="Q29" s="1"/>
  <c r="O29"/>
  <c r="X29"/>
  <c r="Y29" s="1"/>
  <c r="N29"/>
  <c r="H28" i="8"/>
  <c r="I28" s="1"/>
  <c r="U28" s="1"/>
  <c r="V28" s="1"/>
  <c r="W28" s="1"/>
  <c r="Z28" s="1"/>
  <c r="AA28" s="1"/>
  <c r="AH27" i="6"/>
  <c r="X30" i="5" l="1"/>
  <c r="Y30" s="1"/>
  <c r="V30"/>
  <c r="W30" s="1"/>
  <c r="Z30" s="1"/>
  <c r="AA30" s="1"/>
  <c r="T30"/>
  <c r="AC28"/>
  <c r="AD28"/>
  <c r="T28" i="8"/>
  <c r="AD28" s="1"/>
  <c r="V29" i="5"/>
  <c r="W29" s="1"/>
  <c r="Z29" s="1"/>
  <c r="AA29" s="1"/>
  <c r="T29"/>
  <c r="X29"/>
  <c r="Y29" s="1"/>
  <c r="X28" i="8"/>
  <c r="Y28" s="1"/>
  <c r="H30" i="7"/>
  <c r="I30" s="1"/>
  <c r="U30" s="1"/>
  <c r="J29" i="6"/>
  <c r="K29" s="1"/>
  <c r="R29" s="1"/>
  <c r="S29" s="1"/>
  <c r="P29"/>
  <c r="Q29" s="1"/>
  <c r="R29" i="4"/>
  <c r="S29" s="1"/>
  <c r="Z29"/>
  <c r="AA29" s="1"/>
  <c r="AF30" i="6"/>
  <c r="AC28" i="8"/>
  <c r="R28" i="2"/>
  <c r="S28" s="1"/>
  <c r="Z28"/>
  <c r="AA28" s="1"/>
  <c r="AC28" i="6"/>
  <c r="AD28"/>
  <c r="F30" i="2"/>
  <c r="G30" s="1"/>
  <c r="J30" s="1"/>
  <c r="K30" s="1"/>
  <c r="AC29" i="1"/>
  <c r="AD29"/>
  <c r="AD28"/>
  <c r="AC28"/>
  <c r="AD29" i="4"/>
  <c r="AC29"/>
  <c r="AF30" i="8"/>
  <c r="U30"/>
  <c r="J29"/>
  <c r="K29" s="1"/>
  <c r="R29" s="1"/>
  <c r="S29" s="1"/>
  <c r="P29"/>
  <c r="Q29" s="1"/>
  <c r="AD28" i="2"/>
  <c r="AC28"/>
  <c r="P30" i="4"/>
  <c r="Q30" s="1"/>
  <c r="O30"/>
  <c r="N30"/>
  <c r="Z29" i="1"/>
  <c r="AA29" s="1"/>
  <c r="R29"/>
  <c r="S29" s="1"/>
  <c r="H29" i="6"/>
  <c r="I29" s="1"/>
  <c r="U29" s="1"/>
  <c r="H30" i="4"/>
  <c r="I30" s="1"/>
  <c r="U30" s="1"/>
  <c r="X30" s="1"/>
  <c r="Y30" s="1"/>
  <c r="AH28" i="8"/>
  <c r="H29"/>
  <c r="I29" s="1"/>
  <c r="U29" s="1"/>
  <c r="X29" s="1"/>
  <c r="Y29" s="1"/>
  <c r="AH28" i="6"/>
  <c r="H30" i="3"/>
  <c r="I30" s="1"/>
  <c r="AD30"/>
  <c r="H29" i="2"/>
  <c r="I29" s="1"/>
  <c r="U29" s="1"/>
  <c r="F30" i="6"/>
  <c r="G30" s="1"/>
  <c r="N30" i="1"/>
  <c r="P30"/>
  <c r="Q30" s="1"/>
  <c r="O30"/>
  <c r="AD29" i="7"/>
  <c r="AC29"/>
  <c r="X30"/>
  <c r="Y30" s="1"/>
  <c r="T30"/>
  <c r="AG30" s="1"/>
  <c r="V30"/>
  <c r="W30" s="1"/>
  <c r="Z30" s="1"/>
  <c r="AA30" s="1"/>
  <c r="M30" i="2"/>
  <c r="T29" i="6"/>
  <c r="AG29" s="1"/>
  <c r="V29"/>
  <c r="W29" s="1"/>
  <c r="Z29" s="1"/>
  <c r="AA29" s="1"/>
  <c r="X29"/>
  <c r="Y29" s="1"/>
  <c r="F30" i="8"/>
  <c r="G30" s="1"/>
  <c r="T29"/>
  <c r="AG29" s="1"/>
  <c r="P30" i="5"/>
  <c r="Q30" s="1"/>
  <c r="J30"/>
  <c r="K30" s="1"/>
  <c r="R30" s="1"/>
  <c r="S30" s="1"/>
  <c r="V30" i="4"/>
  <c r="W30" s="1"/>
  <c r="T30"/>
  <c r="J30" i="3"/>
  <c r="K30" s="1"/>
  <c r="R30" s="1"/>
  <c r="S30" s="1"/>
  <c r="P30"/>
  <c r="Q30" s="1"/>
  <c r="J30" i="7"/>
  <c r="K30" s="1"/>
  <c r="R30" s="1"/>
  <c r="S30" s="1"/>
  <c r="P30"/>
  <c r="Q30" s="1"/>
  <c r="P29" i="2"/>
  <c r="Q29" s="1"/>
  <c r="O29"/>
  <c r="N29"/>
  <c r="X29"/>
  <c r="Y29" s="1"/>
  <c r="AG28" i="8"/>
  <c r="H30" i="1"/>
  <c r="I30" s="1"/>
  <c r="U30" s="1"/>
  <c r="AG28" i="6"/>
  <c r="AH29" i="7"/>
  <c r="V29" i="8" l="1"/>
  <c r="W29" s="1"/>
  <c r="Z29" s="1"/>
  <c r="AA29" s="1"/>
  <c r="H30" i="6"/>
  <c r="I30" s="1"/>
  <c r="U30" s="1"/>
  <c r="AC30" i="5"/>
  <c r="AD30"/>
  <c r="AD29"/>
  <c r="AC29"/>
  <c r="V30" i="1"/>
  <c r="W30" s="1"/>
  <c r="T30"/>
  <c r="R29" i="2"/>
  <c r="S29" s="1"/>
  <c r="AC30" i="4"/>
  <c r="AD30"/>
  <c r="P30" i="8"/>
  <c r="Q30" s="1"/>
  <c r="J30"/>
  <c r="K30" s="1"/>
  <c r="R30" s="1"/>
  <c r="S30" s="1"/>
  <c r="N30" i="2"/>
  <c r="P30"/>
  <c r="Q30" s="1"/>
  <c r="O30"/>
  <c r="T30" i="6"/>
  <c r="X30"/>
  <c r="Y30" s="1"/>
  <c r="V30"/>
  <c r="W30" s="1"/>
  <c r="Z30" s="1"/>
  <c r="AA30" s="1"/>
  <c r="AD29" i="8"/>
  <c r="AC29"/>
  <c r="AC29" i="6"/>
  <c r="AD29"/>
  <c r="AC30" i="7"/>
  <c r="AD30"/>
  <c r="R30" i="1"/>
  <c r="S30" s="1"/>
  <c r="Z30"/>
  <c r="AA30" s="1"/>
  <c r="P30" i="6"/>
  <c r="Q30" s="1"/>
  <c r="J30"/>
  <c r="K30" s="1"/>
  <c r="R30" s="1"/>
  <c r="S30" s="1"/>
  <c r="T29" i="2"/>
  <c r="V29"/>
  <c r="W29" s="1"/>
  <c r="Z29" s="1"/>
  <c r="AA29" s="1"/>
  <c r="Z30" i="4"/>
  <c r="AA30" s="1"/>
  <c r="R30"/>
  <c r="S30" s="1"/>
  <c r="V30" i="8"/>
  <c r="W30" s="1"/>
  <c r="Z30" s="1"/>
  <c r="AA30" s="1"/>
  <c r="T30"/>
  <c r="X30"/>
  <c r="Y30" s="1"/>
  <c r="AH30" i="6"/>
  <c r="AG30"/>
  <c r="H30" i="8"/>
  <c r="I30" s="1"/>
  <c r="X30" i="1"/>
  <c r="Y30" s="1"/>
  <c r="AH29" i="8"/>
  <c r="AH29" i="6"/>
  <c r="H30" i="2"/>
  <c r="I30" s="1"/>
  <c r="U30" s="1"/>
  <c r="AH30" i="7"/>
  <c r="T30" i="2" l="1"/>
  <c r="V30"/>
  <c r="W30" s="1"/>
  <c r="AD30" i="8"/>
  <c r="AC30"/>
  <c r="AD30" i="6"/>
  <c r="AC30"/>
  <c r="R30" i="2"/>
  <c r="S30" s="1"/>
  <c r="Z30"/>
  <c r="AA30" s="1"/>
  <c r="AG30" i="8"/>
  <c r="AD29" i="2"/>
  <c r="AC29"/>
  <c r="AC30" i="1"/>
  <c r="AD30"/>
  <c r="AH30" i="8"/>
  <c r="X30" i="2"/>
  <c r="Y30" s="1"/>
  <c r="AC30" l="1"/>
  <c r="AD30"/>
</calcChain>
</file>

<file path=xl/sharedStrings.xml><?xml version="1.0" encoding="utf-8"?>
<sst xmlns="http://schemas.openxmlformats.org/spreadsheetml/2006/main" count="902" uniqueCount="105">
  <si>
    <t>V                  [m/s]</t>
  </si>
  <si>
    <t>V                  [Km/h]</t>
  </si>
  <si>
    <t>delta_V            [m/s]</t>
  </si>
  <si>
    <t>S (mq)</t>
  </si>
  <si>
    <t>b (m)</t>
  </si>
  <si>
    <t>AR</t>
  </si>
  <si>
    <t>T [°K]</t>
  </si>
  <si>
    <t>T/To</t>
  </si>
  <si>
    <t>Wto (Kg)</t>
  </si>
  <si>
    <t>W/S (Kg/mq)</t>
  </si>
  <si>
    <t>W/S (N/mq)</t>
  </si>
  <si>
    <t>sigma</t>
  </si>
  <si>
    <t>ro (Kg/mc)</t>
  </si>
  <si>
    <t>CDo</t>
  </si>
  <si>
    <t>e</t>
  </si>
  <si>
    <t>Clmax_3D</t>
  </si>
  <si>
    <t>n_mot</t>
  </si>
  <si>
    <t>CL_P</t>
  </si>
  <si>
    <t>CL_S</t>
  </si>
  <si>
    <t>CL_A</t>
  </si>
  <si>
    <t>CL_E</t>
  </si>
  <si>
    <t>E_max</t>
  </si>
  <si>
    <t>V_S [Km/h]</t>
  </si>
  <si>
    <t>V_P [Km/h]</t>
  </si>
  <si>
    <t>V_E [Km/h]</t>
  </si>
  <si>
    <t>V_A [Km/h]</t>
  </si>
  <si>
    <t>E_S</t>
  </si>
  <si>
    <t>E_P</t>
  </si>
  <si>
    <t>E_E</t>
  </si>
  <si>
    <t>E_A</t>
  </si>
  <si>
    <t>K</t>
  </si>
  <si>
    <t>geometria</t>
  </si>
  <si>
    <t>Pesi</t>
  </si>
  <si>
    <t>quota</t>
  </si>
  <si>
    <t>Aerodinamica</t>
  </si>
  <si>
    <t>Motore</t>
  </si>
  <si>
    <t>CD_S</t>
  </si>
  <si>
    <t>CD_P</t>
  </si>
  <si>
    <t>CD_A</t>
  </si>
  <si>
    <t>CD_E</t>
  </si>
  <si>
    <t>D_S (Kg)</t>
  </si>
  <si>
    <t>D_P (Kg)</t>
  </si>
  <si>
    <t>D_E (Kg)</t>
  </si>
  <si>
    <t>D_A (Kg)</t>
  </si>
  <si>
    <t>P_E (hp)</t>
  </si>
  <si>
    <t>P_A (hp)</t>
  </si>
  <si>
    <t>P_S (hp)</t>
  </si>
  <si>
    <t>P_P (hp)</t>
  </si>
  <si>
    <t>q             [N/mq]</t>
  </si>
  <si>
    <t>CL</t>
  </si>
  <si>
    <t>CD</t>
  </si>
  <si>
    <t>D            [Kg]</t>
  </si>
  <si>
    <t>E</t>
  </si>
  <si>
    <t>D=W/E    [Kg]</t>
  </si>
  <si>
    <t>d-CL</t>
  </si>
  <si>
    <t>Pno [KW]</t>
  </si>
  <si>
    <t>Pno           [hp]</t>
  </si>
  <si>
    <t>RC      [m/s]</t>
  </si>
  <si>
    <t>To (Kg)</t>
  </si>
  <si>
    <t>To_tot</t>
  </si>
  <si>
    <t>K_cont</t>
  </si>
  <si>
    <t>To_cr</t>
  </si>
  <si>
    <t>T_disp [Kg]</t>
  </si>
  <si>
    <t>a (m/s)</t>
  </si>
  <si>
    <t>Mach</t>
  </si>
  <si>
    <t>Td               [Kg]</t>
  </si>
  <si>
    <t>Pd        [hp]</t>
  </si>
  <si>
    <t>Diff T      [Kg]</t>
  </si>
  <si>
    <t>teta           [deg]</t>
  </si>
  <si>
    <t>Diff P        [hp]</t>
  </si>
  <si>
    <t>amm.</t>
  </si>
  <si>
    <t>h (ft)</t>
  </si>
  <si>
    <t xml:space="preserve">    h (m)</t>
  </si>
  <si>
    <t>MDD</t>
  </si>
  <si>
    <t>Td/W</t>
  </si>
  <si>
    <t>par tonda</t>
  </si>
  <si>
    <t>Vmax=</t>
  </si>
  <si>
    <t>m/s</t>
  </si>
  <si>
    <t>Vmax</t>
  </si>
  <si>
    <t>Mmax</t>
  </si>
  <si>
    <t>VDD</t>
  </si>
  <si>
    <t>Km/h</t>
  </si>
  <si>
    <t>qDD</t>
  </si>
  <si>
    <t>N/mq</t>
  </si>
  <si>
    <t>CL_DD</t>
  </si>
  <si>
    <t>CD_DD</t>
  </si>
  <si>
    <t>D_DD</t>
  </si>
  <si>
    <t>N</t>
  </si>
  <si>
    <t>Kg</t>
  </si>
  <si>
    <t>DM_max</t>
  </si>
  <si>
    <t>M_max</t>
  </si>
  <si>
    <t>D_comp    [Kg]</t>
  </si>
  <si>
    <t>V_DD</t>
  </si>
  <si>
    <t>Pno     [KW]</t>
  </si>
  <si>
    <t>SFCJ</t>
  </si>
  <si>
    <t>Range      [Km]</t>
  </si>
  <si>
    <t>Wfuel (Kg)</t>
  </si>
  <si>
    <t>Endurance     [h]</t>
  </si>
  <si>
    <t>Td/To</t>
  </si>
  <si>
    <t>SFC</t>
  </si>
  <si>
    <t>To/W</t>
  </si>
  <si>
    <t>M</t>
  </si>
  <si>
    <t>Td S/L non corr</t>
  </si>
  <si>
    <t>T_disp_approx</t>
  </si>
  <si>
    <t>Td 20000 approx</t>
  </si>
</sst>
</file>

<file path=xl/styles.xml><?xml version="1.0" encoding="utf-8"?>
<styleSheet xmlns="http://schemas.openxmlformats.org/spreadsheetml/2006/main">
  <numFmts count="3">
    <numFmt numFmtId="178" formatCode="0.0"/>
    <numFmt numFmtId="179" formatCode="0.0000"/>
    <numFmt numFmtId="180" formatCode="0.000"/>
  </numFmts>
  <fonts count="1">
    <font>
      <sz val="10"/>
      <name val="Arial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0" xfId="0" applyFill="1" applyAlignment="1">
      <alignment wrapText="1"/>
    </xf>
    <xf numFmtId="0" fontId="0" fillId="3" borderId="0" xfId="0" applyFill="1" applyAlignment="1">
      <alignment horizontal="center" wrapText="1"/>
    </xf>
    <xf numFmtId="0" fontId="0" fillId="4" borderId="0" xfId="0" applyFill="1"/>
    <xf numFmtId="0" fontId="0" fillId="5" borderId="0" xfId="0" applyFill="1"/>
    <xf numFmtId="0" fontId="0" fillId="0" borderId="1" xfId="0" applyFill="1" applyBorder="1"/>
    <xf numFmtId="0" fontId="0" fillId="0" borderId="2" xfId="0" applyFill="1" applyBorder="1"/>
    <xf numFmtId="178" fontId="0" fillId="0" borderId="0" xfId="0" applyNumberFormat="1"/>
    <xf numFmtId="2" fontId="0" fillId="0" borderId="0" xfId="0" applyNumberFormat="1"/>
    <xf numFmtId="179" fontId="0" fillId="0" borderId="0" xfId="0" applyNumberFormat="1"/>
    <xf numFmtId="180" fontId="0" fillId="0" borderId="0" xfId="0" applyNumberFormat="1"/>
    <xf numFmtId="0" fontId="0" fillId="2" borderId="0" xfId="0" applyFill="1"/>
    <xf numFmtId="0" fontId="0" fillId="6" borderId="0" xfId="0" applyFill="1" applyAlignment="1">
      <alignment horizontal="center" wrapText="1"/>
    </xf>
    <xf numFmtId="0" fontId="0" fillId="7" borderId="0" xfId="0" applyFill="1"/>
    <xf numFmtId="178" fontId="0" fillId="7" borderId="0" xfId="0" applyNumberFormat="1" applyFill="1"/>
    <xf numFmtId="2" fontId="0" fillId="7" borderId="0" xfId="0" applyNumberFormat="1" applyFill="1"/>
    <xf numFmtId="178" fontId="0" fillId="8" borderId="0" xfId="0" applyNumberFormat="1" applyFill="1"/>
    <xf numFmtId="178" fontId="0" fillId="9" borderId="0" xfId="0" applyNumberFormat="1" applyFill="1"/>
    <xf numFmtId="180" fontId="0" fillId="9" borderId="0" xfId="0" applyNumberFormat="1" applyFill="1"/>
    <xf numFmtId="180" fontId="0" fillId="8" borderId="0" xfId="0" applyNumberFormat="1" applyFill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1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7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9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1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2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4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5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6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8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9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0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1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2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3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5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6.xml"/></Relationships>
</file>

<file path=xl/charts/_rels/chart5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7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8.xml"/></Relationships>
</file>

<file path=xl/charts/_rels/chart5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1818227216257117E-2"/>
          <c:y val="6.6790352504638217E-2"/>
          <c:w val="0.73863677348009893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3410560"/>
        <c:axId val="63412096"/>
      </c:scatterChart>
      <c:valAx>
        <c:axId val="6341056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3412096"/>
        <c:crosses val="autoZero"/>
        <c:crossBetween val="midCat"/>
      </c:valAx>
      <c:valAx>
        <c:axId val="634120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3410560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363684084943926"/>
          <c:y val="0.4007421150278293"/>
          <c:w val="0.12727284657599613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4838272"/>
        <c:axId val="64844160"/>
      </c:scatterChart>
      <c:valAx>
        <c:axId val="6483827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4844160"/>
        <c:crosses val="autoZero"/>
        <c:crossBetween val="midCat"/>
      </c:valAx>
      <c:valAx>
        <c:axId val="648441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4838272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4881792"/>
        <c:axId val="64883328"/>
      </c:scatterChart>
      <c:valAx>
        <c:axId val="6488179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4883328"/>
        <c:crosses val="autoZero"/>
        <c:crossBetween val="midCat"/>
      </c:valAx>
      <c:valAx>
        <c:axId val="648833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4881792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1623680"/>
        <c:axId val="61637760"/>
      </c:scatterChart>
      <c:valAx>
        <c:axId val="6162368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637760"/>
        <c:crosses val="autoZero"/>
        <c:crossBetween val="midCat"/>
      </c:valAx>
      <c:valAx>
        <c:axId val="616377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623680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1430016"/>
        <c:axId val="61431808"/>
      </c:scatterChart>
      <c:valAx>
        <c:axId val="6143001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431808"/>
        <c:crosses val="autoZero"/>
        <c:crossBetween val="midCat"/>
      </c:valAx>
      <c:valAx>
        <c:axId val="6143180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430016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1502208"/>
        <c:axId val="61503744"/>
      </c:scatterChart>
      <c:valAx>
        <c:axId val="6150220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503744"/>
        <c:crosses val="autoZero"/>
        <c:crossBetween val="midCat"/>
      </c:valAx>
      <c:valAx>
        <c:axId val="615037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502208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1524992"/>
        <c:axId val="61530880"/>
      </c:scatterChart>
      <c:valAx>
        <c:axId val="6152499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530880"/>
        <c:crosses val="autoZero"/>
        <c:crossBetween val="midCat"/>
      </c:valAx>
      <c:valAx>
        <c:axId val="615308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524992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1756928"/>
        <c:axId val="61758464"/>
      </c:scatterChart>
      <c:valAx>
        <c:axId val="6175692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758464"/>
        <c:crosses val="autoZero"/>
        <c:crossBetween val="midCat"/>
      </c:valAx>
      <c:valAx>
        <c:axId val="617584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756928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1853696"/>
        <c:axId val="61855232"/>
      </c:scatterChart>
      <c:valAx>
        <c:axId val="6185369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855232"/>
        <c:crosses val="autoZero"/>
        <c:crossBetween val="midCat"/>
      </c:valAx>
      <c:valAx>
        <c:axId val="618552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853696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5054976"/>
        <c:axId val="65069056"/>
      </c:scatterChart>
      <c:valAx>
        <c:axId val="6505497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5069056"/>
        <c:crosses val="autoZero"/>
        <c:crossBetween val="midCat"/>
      </c:valAx>
      <c:valAx>
        <c:axId val="6506905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5054976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5102592"/>
        <c:axId val="65104128"/>
      </c:scatterChart>
      <c:valAx>
        <c:axId val="6510259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5104128"/>
        <c:crosses val="autoZero"/>
        <c:crossBetween val="midCat"/>
      </c:valAx>
      <c:valAx>
        <c:axId val="651041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5102592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4190720"/>
        <c:axId val="64196608"/>
      </c:scatterChart>
      <c:valAx>
        <c:axId val="6419072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4196608"/>
        <c:crosses val="autoZero"/>
        <c:crossBetween val="midCat"/>
      </c:valAx>
      <c:valAx>
        <c:axId val="6419660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4190720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1975552"/>
        <c:axId val="61985536"/>
      </c:scatterChart>
      <c:valAx>
        <c:axId val="6197555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985536"/>
        <c:crosses val="autoZero"/>
        <c:crossBetween val="midCat"/>
      </c:valAx>
      <c:valAx>
        <c:axId val="619855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975552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5160704"/>
        <c:axId val="65162240"/>
      </c:scatterChart>
      <c:valAx>
        <c:axId val="6516070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5162240"/>
        <c:crosses val="autoZero"/>
        <c:crossBetween val="midCat"/>
      </c:valAx>
      <c:valAx>
        <c:axId val="651622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5160704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5208320"/>
        <c:axId val="65209856"/>
      </c:scatterChart>
      <c:valAx>
        <c:axId val="6520832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5209856"/>
        <c:crosses val="autoZero"/>
        <c:crossBetween val="midCat"/>
      </c:valAx>
      <c:valAx>
        <c:axId val="6520985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5208320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674112107574479E-2"/>
          <c:y val="2.3728813559322035E-2"/>
          <c:w val="0.75340859448646913"/>
          <c:h val="0.9"/>
        </c:manualLayout>
      </c:layout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'h=25000'!$L$2:$L$30</c:f>
              <c:numCache>
                <c:formatCode>0.000</c:formatCode>
                <c:ptCount val="29"/>
                <c:pt idx="0">
                  <c:v>0.40707736470251432</c:v>
                </c:pt>
                <c:pt idx="1">
                  <c:v>0.42774346533833679</c:v>
                </c:pt>
                <c:pt idx="2">
                  <c:v>0.44840956597415926</c:v>
                </c:pt>
                <c:pt idx="3">
                  <c:v>0.46907566660998173</c:v>
                </c:pt>
                <c:pt idx="4">
                  <c:v>0.4897417672458042</c:v>
                </c:pt>
                <c:pt idx="5">
                  <c:v>0.51040786788162673</c:v>
                </c:pt>
                <c:pt idx="6">
                  <c:v>0.53107396851744915</c:v>
                </c:pt>
                <c:pt idx="7">
                  <c:v>0.55174006915327167</c:v>
                </c:pt>
                <c:pt idx="8">
                  <c:v>0.57240616978909409</c:v>
                </c:pt>
                <c:pt idx="9">
                  <c:v>0.59307227042491661</c:v>
                </c:pt>
                <c:pt idx="10">
                  <c:v>0.61373837106073903</c:v>
                </c:pt>
                <c:pt idx="11">
                  <c:v>0.63440447169656156</c:v>
                </c:pt>
                <c:pt idx="12">
                  <c:v>0.65507057233238408</c:v>
                </c:pt>
                <c:pt idx="13">
                  <c:v>0.6757366729682065</c:v>
                </c:pt>
                <c:pt idx="14">
                  <c:v>0.69640277360402902</c:v>
                </c:pt>
                <c:pt idx="15">
                  <c:v>0.71706887423985144</c:v>
                </c:pt>
                <c:pt idx="16">
                  <c:v>0.73773497487567397</c:v>
                </c:pt>
                <c:pt idx="17">
                  <c:v>0.75840107551149638</c:v>
                </c:pt>
                <c:pt idx="18">
                  <c:v>0.77906717614731891</c:v>
                </c:pt>
                <c:pt idx="19">
                  <c:v>0.79973327678314132</c:v>
                </c:pt>
                <c:pt idx="20">
                  <c:v>0.82039937741896385</c:v>
                </c:pt>
                <c:pt idx="21">
                  <c:v>0.84106547805478626</c:v>
                </c:pt>
                <c:pt idx="22">
                  <c:v>0.86173157869060857</c:v>
                </c:pt>
                <c:pt idx="23">
                  <c:v>0.88239767932643098</c:v>
                </c:pt>
                <c:pt idx="24">
                  <c:v>0.9030637799622534</c:v>
                </c:pt>
                <c:pt idx="25">
                  <c:v>0.92372988059807581</c:v>
                </c:pt>
                <c:pt idx="26">
                  <c:v>0.94439598123389812</c:v>
                </c:pt>
                <c:pt idx="27">
                  <c:v>0.96506208186972053</c:v>
                </c:pt>
                <c:pt idx="28">
                  <c:v>0.98572818250554295</c:v>
                </c:pt>
              </c:numCache>
            </c:numRef>
          </c:xVal>
          <c:yVal>
            <c:numRef>
              <c:f>'h=25000'!$K$2:$K$30</c:f>
              <c:numCache>
                <c:formatCode>0.0</c:formatCode>
                <c:ptCount val="29"/>
                <c:pt idx="0">
                  <c:v>52687.933801862877</c:v>
                </c:pt>
                <c:pt idx="1">
                  <c:v>51635.399948888444</c:v>
                </c:pt>
                <c:pt idx="2">
                  <c:v>50901.979451622603</c:v>
                </c:pt>
                <c:pt idx="3">
                  <c:v>50466.497421553715</c:v>
                </c:pt>
                <c:pt idx="4">
                  <c:v>50312.302103857503</c:v>
                </c:pt>
                <c:pt idx="5">
                  <c:v>50426.349182892249</c:v>
                </c:pt>
                <c:pt idx="6">
                  <c:v>50798.499886553225</c:v>
                </c:pt>
                <c:pt idx="7">
                  <c:v>51420.976832798297</c:v>
                </c:pt>
                <c:pt idx="8">
                  <c:v>52287.937752580416</c:v>
                </c:pt>
                <c:pt idx="9">
                  <c:v>53395.138336671858</c:v>
                </c:pt>
                <c:pt idx="10">
                  <c:v>54739.663199214927</c:v>
                </c:pt>
                <c:pt idx="11">
                  <c:v>56319.709425400513</c:v>
                </c:pt>
                <c:pt idx="12">
                  <c:v>58134.411090843641</c:v>
                </c:pt>
                <c:pt idx="13">
                  <c:v>60183.695981373916</c:v>
                </c:pt>
                <c:pt idx="14">
                  <c:v>62468.167824297583</c:v>
                </c:pt>
                <c:pt idx="15">
                  <c:v>64989.008884402501</c:v>
                </c:pt>
                <c:pt idx="16">
                  <c:v>67747.898931377465</c:v>
                </c:pt>
                <c:pt idx="17">
                  <c:v>70746.947455847243</c:v>
                </c:pt>
                <c:pt idx="18">
                  <c:v>73988.636673927496</c:v>
                </c:pt>
                <c:pt idx="19">
                  <c:v>77475.773368777882</c:v>
                </c:pt>
                <c:pt idx="20">
                  <c:v>81211.448010907538</c:v>
                </c:pt>
                <c:pt idx="21">
                  <c:v>85198.999905292032</c:v>
                </c:pt>
                <c:pt idx="22">
                  <c:v>89441.987353555029</c:v>
                </c:pt>
                <c:pt idx="23">
                  <c:v>93944.162009029867</c:v>
                </c:pt>
                <c:pt idx="24">
                  <c:v>98709.44675304048</c:v>
                </c:pt>
                <c:pt idx="25">
                  <c:v>103741.91654095329</c:v>
                </c:pt>
                <c:pt idx="26">
                  <c:v>109045.78176308933</c:v>
                </c:pt>
                <c:pt idx="27">
                  <c:v>114625.37374352073</c:v>
                </c:pt>
                <c:pt idx="28">
                  <c:v>120485.13206300027</c:v>
                </c:pt>
              </c:numCache>
            </c:numRef>
          </c:yVal>
          <c:smooth val="1"/>
        </c:ser>
        <c:ser>
          <c:idx val="1"/>
          <c:order val="1"/>
          <c:tx>
            <c:v>D_compr</c:v>
          </c:tx>
          <c:marker>
            <c:symbol val="none"/>
          </c:marker>
          <c:xVal>
            <c:numRef>
              <c:f>'h=25000'!$L$2:$L$30</c:f>
              <c:numCache>
                <c:formatCode>0.000</c:formatCode>
                <c:ptCount val="29"/>
                <c:pt idx="0">
                  <c:v>0.40707736470251432</c:v>
                </c:pt>
                <c:pt idx="1">
                  <c:v>0.42774346533833679</c:v>
                </c:pt>
                <c:pt idx="2">
                  <c:v>0.44840956597415926</c:v>
                </c:pt>
                <c:pt idx="3">
                  <c:v>0.46907566660998173</c:v>
                </c:pt>
                <c:pt idx="4">
                  <c:v>0.4897417672458042</c:v>
                </c:pt>
                <c:pt idx="5">
                  <c:v>0.51040786788162673</c:v>
                </c:pt>
                <c:pt idx="6">
                  <c:v>0.53107396851744915</c:v>
                </c:pt>
                <c:pt idx="7">
                  <c:v>0.55174006915327167</c:v>
                </c:pt>
                <c:pt idx="8">
                  <c:v>0.57240616978909409</c:v>
                </c:pt>
                <c:pt idx="9">
                  <c:v>0.59307227042491661</c:v>
                </c:pt>
                <c:pt idx="10">
                  <c:v>0.61373837106073903</c:v>
                </c:pt>
                <c:pt idx="11">
                  <c:v>0.63440447169656156</c:v>
                </c:pt>
                <c:pt idx="12">
                  <c:v>0.65507057233238408</c:v>
                </c:pt>
                <c:pt idx="13">
                  <c:v>0.6757366729682065</c:v>
                </c:pt>
                <c:pt idx="14">
                  <c:v>0.69640277360402902</c:v>
                </c:pt>
                <c:pt idx="15">
                  <c:v>0.71706887423985144</c:v>
                </c:pt>
                <c:pt idx="16">
                  <c:v>0.73773497487567397</c:v>
                </c:pt>
                <c:pt idx="17">
                  <c:v>0.75840107551149638</c:v>
                </c:pt>
                <c:pt idx="18">
                  <c:v>0.77906717614731891</c:v>
                </c:pt>
                <c:pt idx="19">
                  <c:v>0.79973327678314132</c:v>
                </c:pt>
                <c:pt idx="20">
                  <c:v>0.82039937741896385</c:v>
                </c:pt>
                <c:pt idx="21">
                  <c:v>0.84106547805478626</c:v>
                </c:pt>
                <c:pt idx="22">
                  <c:v>0.86173157869060857</c:v>
                </c:pt>
                <c:pt idx="23">
                  <c:v>0.88239767932643098</c:v>
                </c:pt>
                <c:pt idx="24">
                  <c:v>0.9030637799622534</c:v>
                </c:pt>
                <c:pt idx="25">
                  <c:v>0.92372988059807581</c:v>
                </c:pt>
                <c:pt idx="26">
                  <c:v>0.94439598123389812</c:v>
                </c:pt>
                <c:pt idx="27">
                  <c:v>0.96506208186972053</c:v>
                </c:pt>
                <c:pt idx="28">
                  <c:v>0.98572818250554295</c:v>
                </c:pt>
              </c:numCache>
            </c:numRef>
          </c:xVal>
          <c:yVal>
            <c:numRef>
              <c:f>'h=25000'!$W$2:$W$30</c:f>
              <c:numCache>
                <c:formatCode>0.0</c:formatCode>
                <c:ptCount val="29"/>
                <c:pt idx="0">
                  <c:v>52687.93380186287</c:v>
                </c:pt>
                <c:pt idx="1">
                  <c:v>51635.399948888444</c:v>
                </c:pt>
                <c:pt idx="2">
                  <c:v>50901.979451622603</c:v>
                </c:pt>
                <c:pt idx="3">
                  <c:v>50466.497421553715</c:v>
                </c:pt>
                <c:pt idx="4">
                  <c:v>50312.302103857503</c:v>
                </c:pt>
                <c:pt idx="5">
                  <c:v>50426.349182892234</c:v>
                </c:pt>
                <c:pt idx="6">
                  <c:v>50798.499886553225</c:v>
                </c:pt>
                <c:pt idx="7">
                  <c:v>51420.976832798297</c:v>
                </c:pt>
                <c:pt idx="8">
                  <c:v>52287.937752580394</c:v>
                </c:pt>
                <c:pt idx="9">
                  <c:v>53395.138336671858</c:v>
                </c:pt>
                <c:pt idx="10">
                  <c:v>54739.66319921492</c:v>
                </c:pt>
                <c:pt idx="11">
                  <c:v>56319.709425400513</c:v>
                </c:pt>
                <c:pt idx="12">
                  <c:v>58134.411090843641</c:v>
                </c:pt>
                <c:pt idx="13">
                  <c:v>60183.695981373945</c:v>
                </c:pt>
                <c:pt idx="14">
                  <c:v>62468.167824297583</c:v>
                </c:pt>
                <c:pt idx="15">
                  <c:v>64989.008884402516</c:v>
                </c:pt>
                <c:pt idx="16">
                  <c:v>67747.898931377465</c:v>
                </c:pt>
                <c:pt idx="17">
                  <c:v>70746.947455847243</c:v>
                </c:pt>
                <c:pt idx="18">
                  <c:v>73988.636673927496</c:v>
                </c:pt>
                <c:pt idx="19">
                  <c:v>77475.773368777896</c:v>
                </c:pt>
                <c:pt idx="20">
                  <c:v>81211.448010907508</c:v>
                </c:pt>
                <c:pt idx="21">
                  <c:v>97173.931269988578</c:v>
                </c:pt>
                <c:pt idx="22">
                  <c:v>124503.43001655105</c:v>
                </c:pt>
                <c:pt idx="23">
                  <c:v>153029.24064995639</c:v>
                </c:pt>
                <c:pt idx="24">
                  <c:v>182751.36317020454</c:v>
                </c:pt>
                <c:pt idx="25">
                  <c:v>213669.79757729539</c:v>
                </c:pt>
                <c:pt idx="26">
                  <c:v>245784.54387122896</c:v>
                </c:pt>
                <c:pt idx="27">
                  <c:v>279095.60205200536</c:v>
                </c:pt>
                <c:pt idx="28">
                  <c:v>313602.97211962449</c:v>
                </c:pt>
              </c:numCache>
            </c:numRef>
          </c:yVal>
          <c:smooth val="1"/>
        </c:ser>
        <c:ser>
          <c:idx val="2"/>
          <c:order val="2"/>
          <c:tx>
            <c:v>Td</c:v>
          </c:tx>
          <c:marker>
            <c:symbol val="none"/>
          </c:marker>
          <c:xVal>
            <c:numRef>
              <c:f>'h=25000'!$L$2:$L$30</c:f>
              <c:numCache>
                <c:formatCode>0.000</c:formatCode>
                <c:ptCount val="29"/>
                <c:pt idx="0">
                  <c:v>0.40707736470251432</c:v>
                </c:pt>
                <c:pt idx="1">
                  <c:v>0.42774346533833679</c:v>
                </c:pt>
                <c:pt idx="2">
                  <c:v>0.44840956597415926</c:v>
                </c:pt>
                <c:pt idx="3">
                  <c:v>0.46907566660998173</c:v>
                </c:pt>
                <c:pt idx="4">
                  <c:v>0.4897417672458042</c:v>
                </c:pt>
                <c:pt idx="5">
                  <c:v>0.51040786788162673</c:v>
                </c:pt>
                <c:pt idx="6">
                  <c:v>0.53107396851744915</c:v>
                </c:pt>
                <c:pt idx="7">
                  <c:v>0.55174006915327167</c:v>
                </c:pt>
                <c:pt idx="8">
                  <c:v>0.57240616978909409</c:v>
                </c:pt>
                <c:pt idx="9">
                  <c:v>0.59307227042491661</c:v>
                </c:pt>
                <c:pt idx="10">
                  <c:v>0.61373837106073903</c:v>
                </c:pt>
                <c:pt idx="11">
                  <c:v>0.63440447169656156</c:v>
                </c:pt>
                <c:pt idx="12">
                  <c:v>0.65507057233238408</c:v>
                </c:pt>
                <c:pt idx="13">
                  <c:v>0.6757366729682065</c:v>
                </c:pt>
                <c:pt idx="14">
                  <c:v>0.69640277360402902</c:v>
                </c:pt>
                <c:pt idx="15">
                  <c:v>0.71706887423985144</c:v>
                </c:pt>
                <c:pt idx="16">
                  <c:v>0.73773497487567397</c:v>
                </c:pt>
                <c:pt idx="17">
                  <c:v>0.75840107551149638</c:v>
                </c:pt>
                <c:pt idx="18">
                  <c:v>0.77906717614731891</c:v>
                </c:pt>
                <c:pt idx="19">
                  <c:v>0.79973327678314132</c:v>
                </c:pt>
                <c:pt idx="20">
                  <c:v>0.82039937741896385</c:v>
                </c:pt>
                <c:pt idx="21">
                  <c:v>0.84106547805478626</c:v>
                </c:pt>
                <c:pt idx="22">
                  <c:v>0.86173157869060857</c:v>
                </c:pt>
                <c:pt idx="23">
                  <c:v>0.88239767932643098</c:v>
                </c:pt>
                <c:pt idx="24">
                  <c:v>0.9030637799622534</c:v>
                </c:pt>
                <c:pt idx="25">
                  <c:v>0.92372988059807581</c:v>
                </c:pt>
                <c:pt idx="26">
                  <c:v>0.94439598123389812</c:v>
                </c:pt>
                <c:pt idx="27">
                  <c:v>0.96506208186972053</c:v>
                </c:pt>
                <c:pt idx="28">
                  <c:v>0.98572818250554295</c:v>
                </c:pt>
              </c:numCache>
            </c:numRef>
          </c:xVal>
          <c:yVal>
            <c:numRef>
              <c:f>'h=25000'!$O$2:$O$30</c:f>
              <c:numCache>
                <c:formatCode>General</c:formatCode>
                <c:ptCount val="29"/>
                <c:pt idx="0">
                  <c:v>61778.237504804711</c:v>
                </c:pt>
                <c:pt idx="1">
                  <c:v>64914.533904657459</c:v>
                </c:pt>
                <c:pt idx="2">
                  <c:v>68050.830304510193</c:v>
                </c:pt>
                <c:pt idx="3">
                  <c:v>71187.126704362934</c:v>
                </c:pt>
                <c:pt idx="4">
                  <c:v>74323.42310421569</c:v>
                </c:pt>
                <c:pt idx="5">
                  <c:v>77459.719504068416</c:v>
                </c:pt>
                <c:pt idx="6">
                  <c:v>80596.015903921158</c:v>
                </c:pt>
                <c:pt idx="7">
                  <c:v>83732.312303773899</c:v>
                </c:pt>
                <c:pt idx="8">
                  <c:v>86868.60870362664</c:v>
                </c:pt>
                <c:pt idx="9">
                  <c:v>90004.905103479396</c:v>
                </c:pt>
                <c:pt idx="10">
                  <c:v>93141.201503332122</c:v>
                </c:pt>
                <c:pt idx="11">
                  <c:v>96277.497903184863</c:v>
                </c:pt>
                <c:pt idx="12">
                  <c:v>99413.794303037605</c:v>
                </c:pt>
                <c:pt idx="13">
                  <c:v>102550.09070289035</c:v>
                </c:pt>
                <c:pt idx="14">
                  <c:v>105686.38710274307</c:v>
                </c:pt>
                <c:pt idx="15">
                  <c:v>108822.68350259583</c:v>
                </c:pt>
                <c:pt idx="16">
                  <c:v>111958.97990244857</c:v>
                </c:pt>
                <c:pt idx="17">
                  <c:v>115095.27630230131</c:v>
                </c:pt>
                <c:pt idx="18">
                  <c:v>118231.57270215404</c:v>
                </c:pt>
                <c:pt idx="19">
                  <c:v>121367.86910200678</c:v>
                </c:pt>
                <c:pt idx="20">
                  <c:v>124504.16550185953</c:v>
                </c:pt>
                <c:pt idx="21">
                  <c:v>127640.46190171226</c:v>
                </c:pt>
                <c:pt idx="22">
                  <c:v>130776.75830156497</c:v>
                </c:pt>
                <c:pt idx="23">
                  <c:v>133913.05470141771</c:v>
                </c:pt>
                <c:pt idx="24">
                  <c:v>137049.35110127044</c:v>
                </c:pt>
                <c:pt idx="25">
                  <c:v>140185.64750112317</c:v>
                </c:pt>
                <c:pt idx="26">
                  <c:v>143321.94390097589</c:v>
                </c:pt>
                <c:pt idx="27">
                  <c:v>146458.24030082862</c:v>
                </c:pt>
                <c:pt idx="28">
                  <c:v>149594.53670068135</c:v>
                </c:pt>
              </c:numCache>
            </c:numRef>
          </c:yVal>
          <c:smooth val="1"/>
        </c:ser>
        <c:axId val="62018688"/>
        <c:axId val="62020224"/>
      </c:scatterChart>
      <c:valAx>
        <c:axId val="62018688"/>
        <c:scaling>
          <c:orientation val="minMax"/>
        </c:scaling>
        <c:axPos val="b"/>
        <c:numFmt formatCode="0.000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62020224"/>
        <c:crosses val="autoZero"/>
        <c:crossBetween val="midCat"/>
      </c:valAx>
      <c:valAx>
        <c:axId val="62020224"/>
        <c:scaling>
          <c:orientation val="minMax"/>
        </c:scaling>
        <c:axPos val="l"/>
        <c:majorGridlines/>
        <c:numFmt formatCode="0.0" sourceLinked="1"/>
        <c:tickLblPos val="nextTo"/>
        <c:crossAx val="62018688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1834368"/>
        <c:axId val="61835904"/>
      </c:scatterChart>
      <c:valAx>
        <c:axId val="6183436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835904"/>
        <c:crosses val="autoZero"/>
        <c:crossBetween val="midCat"/>
      </c:valAx>
      <c:valAx>
        <c:axId val="618359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834368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5228160"/>
        <c:axId val="65242240"/>
      </c:scatterChart>
      <c:valAx>
        <c:axId val="6522816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5242240"/>
        <c:crosses val="autoZero"/>
        <c:crossBetween val="midCat"/>
      </c:valAx>
      <c:valAx>
        <c:axId val="652422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5228160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2146432"/>
        <c:axId val="62147968"/>
      </c:scatterChart>
      <c:valAx>
        <c:axId val="6214643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147968"/>
        <c:crosses val="autoZero"/>
        <c:crossBetween val="midCat"/>
      </c:valAx>
      <c:valAx>
        <c:axId val="621479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146432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1878656"/>
        <c:axId val="61880192"/>
      </c:scatterChart>
      <c:valAx>
        <c:axId val="6187865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880192"/>
        <c:crosses val="autoZero"/>
        <c:crossBetween val="midCat"/>
      </c:valAx>
      <c:valAx>
        <c:axId val="618801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878656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1921920"/>
        <c:axId val="61927808"/>
      </c:scatterChart>
      <c:valAx>
        <c:axId val="6192192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927808"/>
        <c:crosses val="autoZero"/>
        <c:crossBetween val="midCat"/>
      </c:valAx>
      <c:valAx>
        <c:axId val="6192780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921920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2248064"/>
        <c:axId val="62249600"/>
      </c:scatterChart>
      <c:valAx>
        <c:axId val="6224806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249600"/>
        <c:crosses val="autoZero"/>
        <c:crossBetween val="midCat"/>
      </c:valAx>
      <c:valAx>
        <c:axId val="622496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248064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4620032"/>
        <c:axId val="64621568"/>
      </c:scatterChart>
      <c:valAx>
        <c:axId val="6462003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4621568"/>
        <c:crosses val="autoZero"/>
        <c:crossBetween val="midCat"/>
      </c:valAx>
      <c:valAx>
        <c:axId val="646215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4620032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5322368"/>
        <c:axId val="65328256"/>
      </c:scatterChart>
      <c:valAx>
        <c:axId val="6532236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5328256"/>
        <c:crosses val="autoZero"/>
        <c:crossBetween val="midCat"/>
      </c:valAx>
      <c:valAx>
        <c:axId val="6532825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5322368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5361792"/>
        <c:axId val="65363328"/>
      </c:scatterChart>
      <c:valAx>
        <c:axId val="6536179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5363328"/>
        <c:crosses val="autoZero"/>
        <c:crossBetween val="midCat"/>
      </c:valAx>
      <c:valAx>
        <c:axId val="653633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5361792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2312832"/>
        <c:axId val="62314368"/>
      </c:scatterChart>
      <c:valAx>
        <c:axId val="6231283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314368"/>
        <c:crosses val="autoZero"/>
        <c:crossBetween val="midCat"/>
      </c:valAx>
      <c:valAx>
        <c:axId val="623143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312832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5419904"/>
        <c:axId val="65425792"/>
      </c:scatterChart>
      <c:valAx>
        <c:axId val="6541990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5425792"/>
        <c:crosses val="autoZero"/>
        <c:crossBetween val="midCat"/>
      </c:valAx>
      <c:valAx>
        <c:axId val="654257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5419904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5464576"/>
        <c:axId val="65466368"/>
      </c:scatterChart>
      <c:valAx>
        <c:axId val="6546457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5466368"/>
        <c:crosses val="autoZero"/>
        <c:crossBetween val="midCat"/>
      </c:valAx>
      <c:valAx>
        <c:axId val="654663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5464576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0.13141696954505577"/>
          <c:y val="3.4229869715901154E-2"/>
          <c:w val="0.6386043363830054"/>
          <c:h val="0.85574674289752883"/>
        </c:manualLayout>
      </c:layout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'h=35000'!$L$2:$L$30</c:f>
              <c:numCache>
                <c:formatCode>0.000</c:formatCode>
                <c:ptCount val="29"/>
                <c:pt idx="0">
                  <c:v>0.51126844676915473</c:v>
                </c:pt>
                <c:pt idx="1">
                  <c:v>0.5315006668042056</c:v>
                </c:pt>
                <c:pt idx="2">
                  <c:v>0.55173288683925648</c:v>
                </c:pt>
                <c:pt idx="3">
                  <c:v>0.57196510687430735</c:v>
                </c:pt>
                <c:pt idx="4">
                  <c:v>0.59219732690935822</c:v>
                </c:pt>
                <c:pt idx="5">
                  <c:v>0.6124295469444091</c:v>
                </c:pt>
                <c:pt idx="6">
                  <c:v>0.63266176697945997</c:v>
                </c:pt>
                <c:pt idx="7">
                  <c:v>0.65289398701451085</c:v>
                </c:pt>
                <c:pt idx="8">
                  <c:v>0.67312620704956172</c:v>
                </c:pt>
                <c:pt idx="9">
                  <c:v>0.69335842708461259</c:v>
                </c:pt>
                <c:pt idx="10">
                  <c:v>0.71359064711966358</c:v>
                </c:pt>
                <c:pt idx="11">
                  <c:v>0.73382286715471445</c:v>
                </c:pt>
                <c:pt idx="12">
                  <c:v>0.75405508718976533</c:v>
                </c:pt>
                <c:pt idx="13">
                  <c:v>0.7742873072248162</c:v>
                </c:pt>
                <c:pt idx="14">
                  <c:v>0.79451952725986708</c:v>
                </c:pt>
                <c:pt idx="15">
                  <c:v>0.81475174729491795</c:v>
                </c:pt>
                <c:pt idx="16">
                  <c:v>0.83498396732996882</c:v>
                </c:pt>
                <c:pt idx="17">
                  <c:v>0.8552161873650197</c:v>
                </c:pt>
                <c:pt idx="18">
                  <c:v>0.87544840740007068</c:v>
                </c:pt>
                <c:pt idx="19">
                  <c:v>0.89568062743512156</c:v>
                </c:pt>
                <c:pt idx="20">
                  <c:v>0.91591284747017243</c:v>
                </c:pt>
                <c:pt idx="21">
                  <c:v>0.93614506750522331</c:v>
                </c:pt>
                <c:pt idx="22">
                  <c:v>0.95637728754027418</c:v>
                </c:pt>
                <c:pt idx="23">
                  <c:v>0.97660950757532505</c:v>
                </c:pt>
                <c:pt idx="24">
                  <c:v>0.99684172761037593</c:v>
                </c:pt>
                <c:pt idx="25">
                  <c:v>1.0170739476454269</c:v>
                </c:pt>
                <c:pt idx="26">
                  <c:v>1.0373061676804778</c:v>
                </c:pt>
                <c:pt idx="27">
                  <c:v>1.0575383877155287</c:v>
                </c:pt>
                <c:pt idx="28">
                  <c:v>1.0777706077505795</c:v>
                </c:pt>
              </c:numCache>
            </c:numRef>
          </c:xVal>
          <c:yVal>
            <c:numRef>
              <c:f>'h=35000'!$I$2:$I$30</c:f>
              <c:numCache>
                <c:formatCode>0.0</c:formatCode>
                <c:ptCount val="29"/>
                <c:pt idx="0">
                  <c:v>31782.10070001987</c:v>
                </c:pt>
                <c:pt idx="1">
                  <c:v>30079.810009909765</c:v>
                </c:pt>
                <c:pt idx="2">
                  <c:v>28612.514181559138</c:v>
                </c:pt>
                <c:pt idx="3">
                  <c:v>27349.438834897632</c:v>
                </c:pt>
                <c:pt idx="4">
                  <c:v>26264.975090300508</c:v>
                </c:pt>
                <c:pt idx="5">
                  <c:v>25337.673010642651</c:v>
                </c:pt>
                <c:pt idx="6">
                  <c:v>24549.456656731771</c:v>
                </c:pt>
                <c:pt idx="7">
                  <c:v>23885.006697827437</c:v>
                </c:pt>
                <c:pt idx="8">
                  <c:v>23331.270913745844</c:v>
                </c:pt>
                <c:pt idx="9">
                  <c:v>22877.073183530098</c:v>
                </c:pt>
                <c:pt idx="10">
                  <c:v>22512.798948649805</c:v>
                </c:pt>
                <c:pt idx="11">
                  <c:v>22230.140522662408</c:v>
                </c:pt>
                <c:pt idx="12">
                  <c:v>22021.889578837821</c:v>
                </c:pt>
                <c:pt idx="13">
                  <c:v>21881.76708623828</c:v>
                </c:pt>
                <c:pt idx="14">
                  <c:v>21804.283165232024</c:v>
                </c:pt>
                <c:pt idx="15">
                  <c:v>21784.620994514269</c:v>
                </c:pt>
                <c:pt idx="16">
                  <c:v>21818.540165366674</c:v>
                </c:pt>
                <c:pt idx="17">
                  <c:v>21902.295847257537</c:v>
                </c:pt>
                <c:pt idx="18">
                  <c:v>22032.570876135869</c:v>
                </c:pt>
                <c:pt idx="19">
                  <c:v>22206.418457200467</c:v>
                </c:pt>
                <c:pt idx="20">
                  <c:v>22421.213627601639</c:v>
                </c:pt>
                <c:pt idx="21">
                  <c:v>22674.611981253944</c:v>
                </c:pt>
                <c:pt idx="22">
                  <c:v>22964.514440017894</c:v>
                </c:pt>
                <c:pt idx="23">
                  <c:v>23289.037079774305</c:v>
                </c:pt>
                <c:pt idx="24">
                  <c:v>23646.485199139104</c:v>
                </c:pt>
                <c:pt idx="25">
                  <c:v>24035.330962502994</c:v>
                </c:pt>
                <c:pt idx="26">
                  <c:v>24454.194065224747</c:v>
                </c:pt>
                <c:pt idx="27">
                  <c:v>24901.824962949526</c:v>
                </c:pt>
                <c:pt idx="28">
                  <c:v>25377.090283664089</c:v>
                </c:pt>
              </c:numCache>
            </c:numRef>
          </c:yVal>
          <c:smooth val="1"/>
        </c:ser>
        <c:ser>
          <c:idx val="1"/>
          <c:order val="1"/>
          <c:tx>
            <c:v>D_c</c:v>
          </c:tx>
          <c:marker>
            <c:symbol val="none"/>
          </c:marker>
          <c:xVal>
            <c:numRef>
              <c:f>'h=35000'!$L$2:$L$30</c:f>
              <c:numCache>
                <c:formatCode>0.000</c:formatCode>
                <c:ptCount val="29"/>
                <c:pt idx="0">
                  <c:v>0.51126844676915473</c:v>
                </c:pt>
                <c:pt idx="1">
                  <c:v>0.5315006668042056</c:v>
                </c:pt>
                <c:pt idx="2">
                  <c:v>0.55173288683925648</c:v>
                </c:pt>
                <c:pt idx="3">
                  <c:v>0.57196510687430735</c:v>
                </c:pt>
                <c:pt idx="4">
                  <c:v>0.59219732690935822</c:v>
                </c:pt>
                <c:pt idx="5">
                  <c:v>0.6124295469444091</c:v>
                </c:pt>
                <c:pt idx="6">
                  <c:v>0.63266176697945997</c:v>
                </c:pt>
                <c:pt idx="7">
                  <c:v>0.65289398701451085</c:v>
                </c:pt>
                <c:pt idx="8">
                  <c:v>0.67312620704956172</c:v>
                </c:pt>
                <c:pt idx="9">
                  <c:v>0.69335842708461259</c:v>
                </c:pt>
                <c:pt idx="10">
                  <c:v>0.71359064711966358</c:v>
                </c:pt>
                <c:pt idx="11">
                  <c:v>0.73382286715471445</c:v>
                </c:pt>
                <c:pt idx="12">
                  <c:v>0.75405508718976533</c:v>
                </c:pt>
                <c:pt idx="13">
                  <c:v>0.7742873072248162</c:v>
                </c:pt>
                <c:pt idx="14">
                  <c:v>0.79451952725986708</c:v>
                </c:pt>
                <c:pt idx="15">
                  <c:v>0.81475174729491795</c:v>
                </c:pt>
                <c:pt idx="16">
                  <c:v>0.83498396732996882</c:v>
                </c:pt>
                <c:pt idx="17">
                  <c:v>0.8552161873650197</c:v>
                </c:pt>
                <c:pt idx="18">
                  <c:v>0.87544840740007068</c:v>
                </c:pt>
                <c:pt idx="19">
                  <c:v>0.89568062743512156</c:v>
                </c:pt>
                <c:pt idx="20">
                  <c:v>0.91591284747017243</c:v>
                </c:pt>
                <c:pt idx="21">
                  <c:v>0.93614506750522331</c:v>
                </c:pt>
                <c:pt idx="22">
                  <c:v>0.95637728754027418</c:v>
                </c:pt>
                <c:pt idx="23">
                  <c:v>0.97660950757532505</c:v>
                </c:pt>
                <c:pt idx="24">
                  <c:v>0.99684172761037593</c:v>
                </c:pt>
                <c:pt idx="25">
                  <c:v>1.0170739476454269</c:v>
                </c:pt>
                <c:pt idx="26">
                  <c:v>1.0373061676804778</c:v>
                </c:pt>
                <c:pt idx="27">
                  <c:v>1.0575383877155287</c:v>
                </c:pt>
                <c:pt idx="28">
                  <c:v>1.0777706077505795</c:v>
                </c:pt>
              </c:numCache>
            </c:numRef>
          </c:xVal>
          <c:yVal>
            <c:numRef>
              <c:f>'h=35000'!$U$2:$U$22</c:f>
              <c:numCache>
                <c:formatCode>General</c:formatCode>
                <c:ptCount val="21"/>
                <c:pt idx="0">
                  <c:v>31782.10070001987</c:v>
                </c:pt>
                <c:pt idx="1">
                  <c:v>30079.810009909765</c:v>
                </c:pt>
                <c:pt idx="2">
                  <c:v>28612.514181559138</c:v>
                </c:pt>
                <c:pt idx="3">
                  <c:v>27349.438834897632</c:v>
                </c:pt>
                <c:pt idx="4">
                  <c:v>26264.975090300508</c:v>
                </c:pt>
                <c:pt idx="5">
                  <c:v>25337.673010642651</c:v>
                </c:pt>
                <c:pt idx="6">
                  <c:v>24549.456656731771</c:v>
                </c:pt>
                <c:pt idx="7">
                  <c:v>23885.006697827437</c:v>
                </c:pt>
                <c:pt idx="8">
                  <c:v>23331.270913745844</c:v>
                </c:pt>
                <c:pt idx="9">
                  <c:v>22877.073183530098</c:v>
                </c:pt>
                <c:pt idx="10">
                  <c:v>22512.798948649805</c:v>
                </c:pt>
                <c:pt idx="11">
                  <c:v>22230.140522662408</c:v>
                </c:pt>
                <c:pt idx="12">
                  <c:v>22021.889578837821</c:v>
                </c:pt>
                <c:pt idx="13">
                  <c:v>21881.76708623828</c:v>
                </c:pt>
                <c:pt idx="14">
                  <c:v>21804.283165232024</c:v>
                </c:pt>
                <c:pt idx="15">
                  <c:v>21784.620994514269</c:v>
                </c:pt>
                <c:pt idx="16">
                  <c:v>23326.906779859062</c:v>
                </c:pt>
                <c:pt idx="17">
                  <c:v>29503.316023354855</c:v>
                </c:pt>
                <c:pt idx="18">
                  <c:v>35679.725266850677</c:v>
                </c:pt>
                <c:pt idx="19">
                  <c:v>41856.13451034647</c:v>
                </c:pt>
                <c:pt idx="20">
                  <c:v>48032.543753842256</c:v>
                </c:pt>
              </c:numCache>
            </c:numRef>
          </c:yVal>
          <c:smooth val="1"/>
        </c:ser>
        <c:ser>
          <c:idx val="2"/>
          <c:order val="2"/>
          <c:tx>
            <c:v>Td</c:v>
          </c:tx>
          <c:marker>
            <c:symbol val="none"/>
          </c:marker>
          <c:xVal>
            <c:numRef>
              <c:f>'h=35000'!$L$2:$L$30</c:f>
              <c:numCache>
                <c:formatCode>0.000</c:formatCode>
                <c:ptCount val="29"/>
                <c:pt idx="0">
                  <c:v>0.51126844676915473</c:v>
                </c:pt>
                <c:pt idx="1">
                  <c:v>0.5315006668042056</c:v>
                </c:pt>
                <c:pt idx="2">
                  <c:v>0.55173288683925648</c:v>
                </c:pt>
                <c:pt idx="3">
                  <c:v>0.57196510687430735</c:v>
                </c:pt>
                <c:pt idx="4">
                  <c:v>0.59219732690935822</c:v>
                </c:pt>
                <c:pt idx="5">
                  <c:v>0.6124295469444091</c:v>
                </c:pt>
                <c:pt idx="6">
                  <c:v>0.63266176697945997</c:v>
                </c:pt>
                <c:pt idx="7">
                  <c:v>0.65289398701451085</c:v>
                </c:pt>
                <c:pt idx="8">
                  <c:v>0.67312620704956172</c:v>
                </c:pt>
                <c:pt idx="9">
                  <c:v>0.69335842708461259</c:v>
                </c:pt>
                <c:pt idx="10">
                  <c:v>0.71359064711966358</c:v>
                </c:pt>
                <c:pt idx="11">
                  <c:v>0.73382286715471445</c:v>
                </c:pt>
                <c:pt idx="12">
                  <c:v>0.75405508718976533</c:v>
                </c:pt>
                <c:pt idx="13">
                  <c:v>0.7742873072248162</c:v>
                </c:pt>
                <c:pt idx="14">
                  <c:v>0.79451952725986708</c:v>
                </c:pt>
                <c:pt idx="15">
                  <c:v>0.81475174729491795</c:v>
                </c:pt>
                <c:pt idx="16">
                  <c:v>0.83498396732996882</c:v>
                </c:pt>
                <c:pt idx="17">
                  <c:v>0.8552161873650197</c:v>
                </c:pt>
                <c:pt idx="18">
                  <c:v>0.87544840740007068</c:v>
                </c:pt>
                <c:pt idx="19">
                  <c:v>0.89568062743512156</c:v>
                </c:pt>
                <c:pt idx="20">
                  <c:v>0.91591284747017243</c:v>
                </c:pt>
                <c:pt idx="21">
                  <c:v>0.93614506750522331</c:v>
                </c:pt>
                <c:pt idx="22">
                  <c:v>0.95637728754027418</c:v>
                </c:pt>
                <c:pt idx="23">
                  <c:v>0.97660950757532505</c:v>
                </c:pt>
                <c:pt idx="24">
                  <c:v>0.99684172761037593</c:v>
                </c:pt>
                <c:pt idx="25">
                  <c:v>1.0170739476454269</c:v>
                </c:pt>
                <c:pt idx="26">
                  <c:v>1.0373061676804778</c:v>
                </c:pt>
                <c:pt idx="27">
                  <c:v>1.0575383877155287</c:v>
                </c:pt>
                <c:pt idx="28">
                  <c:v>1.0777706077505795</c:v>
                </c:pt>
              </c:numCache>
            </c:numRef>
          </c:xVal>
          <c:yVal>
            <c:numRef>
              <c:f>'h=35000'!$M$2:$M$30</c:f>
              <c:numCache>
                <c:formatCode>General</c:formatCode>
                <c:ptCount val="29"/>
                <c:pt idx="0">
                  <c:v>25762.637290192866</c:v>
                </c:pt>
                <c:pt idx="1">
                  <c:v>25762.637290192866</c:v>
                </c:pt>
                <c:pt idx="2">
                  <c:v>25762.637290192866</c:v>
                </c:pt>
                <c:pt idx="3">
                  <c:v>25762.637290192866</c:v>
                </c:pt>
                <c:pt idx="4">
                  <c:v>25762.637290192866</c:v>
                </c:pt>
                <c:pt idx="5">
                  <c:v>25762.637290192866</c:v>
                </c:pt>
                <c:pt idx="6">
                  <c:v>25762.637290192866</c:v>
                </c:pt>
                <c:pt idx="7">
                  <c:v>25762.637290192866</c:v>
                </c:pt>
                <c:pt idx="8">
                  <c:v>25762.637290192866</c:v>
                </c:pt>
                <c:pt idx="9">
                  <c:v>25762.637290192866</c:v>
                </c:pt>
                <c:pt idx="10">
                  <c:v>25762.637290192866</c:v>
                </c:pt>
                <c:pt idx="11">
                  <c:v>25762.637290192866</c:v>
                </c:pt>
                <c:pt idx="12">
                  <c:v>25762.637290192866</c:v>
                </c:pt>
                <c:pt idx="13">
                  <c:v>25762.637290192866</c:v>
                </c:pt>
                <c:pt idx="14">
                  <c:v>25762.637290192866</c:v>
                </c:pt>
                <c:pt idx="15">
                  <c:v>25762.637290192866</c:v>
                </c:pt>
                <c:pt idx="16">
                  <c:v>25762.637290192866</c:v>
                </c:pt>
                <c:pt idx="17">
                  <c:v>25762.637290192866</c:v>
                </c:pt>
                <c:pt idx="18">
                  <c:v>25762.637290192866</c:v>
                </c:pt>
                <c:pt idx="19">
                  <c:v>25762.637290192866</c:v>
                </c:pt>
                <c:pt idx="20">
                  <c:v>25762.637290192866</c:v>
                </c:pt>
                <c:pt idx="21">
                  <c:v>25762.637290192866</c:v>
                </c:pt>
                <c:pt idx="22">
                  <c:v>25762.637290192866</c:v>
                </c:pt>
                <c:pt idx="23">
                  <c:v>25762.637290192866</c:v>
                </c:pt>
                <c:pt idx="24">
                  <c:v>25762.637290192866</c:v>
                </c:pt>
                <c:pt idx="25">
                  <c:v>25762.637290192866</c:v>
                </c:pt>
                <c:pt idx="26">
                  <c:v>25762.637290192866</c:v>
                </c:pt>
                <c:pt idx="27">
                  <c:v>25762.637290192866</c:v>
                </c:pt>
                <c:pt idx="28">
                  <c:v>25762.637290192866</c:v>
                </c:pt>
              </c:numCache>
            </c:numRef>
          </c:yVal>
          <c:smooth val="1"/>
        </c:ser>
        <c:axId val="62335616"/>
        <c:axId val="62337408"/>
      </c:scatterChart>
      <c:valAx>
        <c:axId val="62335616"/>
        <c:scaling>
          <c:orientation val="minMax"/>
        </c:scaling>
        <c:axPos val="b"/>
        <c:numFmt formatCode="0.000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62337408"/>
        <c:crosses val="autoZero"/>
        <c:crossBetween val="midCat"/>
      </c:valAx>
      <c:valAx>
        <c:axId val="62337408"/>
        <c:scaling>
          <c:orientation val="minMax"/>
        </c:scaling>
        <c:axPos val="l"/>
        <c:majorGridlines/>
        <c:numFmt formatCode="0.0" sourceLinked="1"/>
        <c:tickLblPos val="nextTo"/>
        <c:crossAx val="62335616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0.13141696954505583"/>
          <c:y val="3.4229869715901154E-2"/>
          <c:w val="0.63860433638300595"/>
          <c:h val="0.85574674289752883"/>
        </c:manualLayout>
      </c:layout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'h=35000'!$L$2:$L$30</c:f>
              <c:numCache>
                <c:formatCode>0.000</c:formatCode>
                <c:ptCount val="29"/>
                <c:pt idx="0">
                  <c:v>0.51126844676915473</c:v>
                </c:pt>
                <c:pt idx="1">
                  <c:v>0.5315006668042056</c:v>
                </c:pt>
                <c:pt idx="2">
                  <c:v>0.55173288683925648</c:v>
                </c:pt>
                <c:pt idx="3">
                  <c:v>0.57196510687430735</c:v>
                </c:pt>
                <c:pt idx="4">
                  <c:v>0.59219732690935822</c:v>
                </c:pt>
                <c:pt idx="5">
                  <c:v>0.6124295469444091</c:v>
                </c:pt>
                <c:pt idx="6">
                  <c:v>0.63266176697945997</c:v>
                </c:pt>
                <c:pt idx="7">
                  <c:v>0.65289398701451085</c:v>
                </c:pt>
                <c:pt idx="8">
                  <c:v>0.67312620704956172</c:v>
                </c:pt>
                <c:pt idx="9">
                  <c:v>0.69335842708461259</c:v>
                </c:pt>
                <c:pt idx="10">
                  <c:v>0.71359064711966358</c:v>
                </c:pt>
                <c:pt idx="11">
                  <c:v>0.73382286715471445</c:v>
                </c:pt>
                <c:pt idx="12">
                  <c:v>0.75405508718976533</c:v>
                </c:pt>
                <c:pt idx="13">
                  <c:v>0.7742873072248162</c:v>
                </c:pt>
                <c:pt idx="14">
                  <c:v>0.79451952725986708</c:v>
                </c:pt>
                <c:pt idx="15">
                  <c:v>0.81475174729491795</c:v>
                </c:pt>
                <c:pt idx="16">
                  <c:v>0.83498396732996882</c:v>
                </c:pt>
                <c:pt idx="17">
                  <c:v>0.8552161873650197</c:v>
                </c:pt>
                <c:pt idx="18">
                  <c:v>0.87544840740007068</c:v>
                </c:pt>
                <c:pt idx="19">
                  <c:v>0.89568062743512156</c:v>
                </c:pt>
                <c:pt idx="20">
                  <c:v>0.91591284747017243</c:v>
                </c:pt>
                <c:pt idx="21">
                  <c:v>0.93614506750522331</c:v>
                </c:pt>
                <c:pt idx="22">
                  <c:v>0.95637728754027418</c:v>
                </c:pt>
                <c:pt idx="23">
                  <c:v>0.97660950757532505</c:v>
                </c:pt>
                <c:pt idx="24">
                  <c:v>0.99684172761037593</c:v>
                </c:pt>
                <c:pt idx="25">
                  <c:v>1.0170739476454269</c:v>
                </c:pt>
                <c:pt idx="26">
                  <c:v>1.0373061676804778</c:v>
                </c:pt>
                <c:pt idx="27">
                  <c:v>1.0575383877155287</c:v>
                </c:pt>
                <c:pt idx="28">
                  <c:v>1.0777706077505795</c:v>
                </c:pt>
              </c:numCache>
            </c:numRef>
          </c:xVal>
          <c:yVal>
            <c:numRef>
              <c:f>'h=35000'!$I$2:$I$30</c:f>
              <c:numCache>
                <c:formatCode>0.0</c:formatCode>
                <c:ptCount val="29"/>
                <c:pt idx="0">
                  <c:v>31782.10070001987</c:v>
                </c:pt>
                <c:pt idx="1">
                  <c:v>30079.810009909765</c:v>
                </c:pt>
                <c:pt idx="2">
                  <c:v>28612.514181559138</c:v>
                </c:pt>
                <c:pt idx="3">
                  <c:v>27349.438834897632</c:v>
                </c:pt>
                <c:pt idx="4">
                  <c:v>26264.975090300508</c:v>
                </c:pt>
                <c:pt idx="5">
                  <c:v>25337.673010642651</c:v>
                </c:pt>
                <c:pt idx="6">
                  <c:v>24549.456656731771</c:v>
                </c:pt>
                <c:pt idx="7">
                  <c:v>23885.006697827437</c:v>
                </c:pt>
                <c:pt idx="8">
                  <c:v>23331.270913745844</c:v>
                </c:pt>
                <c:pt idx="9">
                  <c:v>22877.073183530098</c:v>
                </c:pt>
                <c:pt idx="10">
                  <c:v>22512.798948649805</c:v>
                </c:pt>
                <c:pt idx="11">
                  <c:v>22230.140522662408</c:v>
                </c:pt>
                <c:pt idx="12">
                  <c:v>22021.889578837821</c:v>
                </c:pt>
                <c:pt idx="13">
                  <c:v>21881.76708623828</c:v>
                </c:pt>
                <c:pt idx="14">
                  <c:v>21804.283165232024</c:v>
                </c:pt>
                <c:pt idx="15">
                  <c:v>21784.620994514269</c:v>
                </c:pt>
                <c:pt idx="16">
                  <c:v>21818.540165366674</c:v>
                </c:pt>
                <c:pt idx="17">
                  <c:v>21902.295847257537</c:v>
                </c:pt>
                <c:pt idx="18">
                  <c:v>22032.570876135869</c:v>
                </c:pt>
                <c:pt idx="19">
                  <c:v>22206.418457200467</c:v>
                </c:pt>
                <c:pt idx="20">
                  <c:v>22421.213627601639</c:v>
                </c:pt>
                <c:pt idx="21">
                  <c:v>22674.611981253944</c:v>
                </c:pt>
                <c:pt idx="22">
                  <c:v>22964.514440017894</c:v>
                </c:pt>
                <c:pt idx="23">
                  <c:v>23289.037079774305</c:v>
                </c:pt>
                <c:pt idx="24">
                  <c:v>23646.485199139104</c:v>
                </c:pt>
                <c:pt idx="25">
                  <c:v>24035.330962502994</c:v>
                </c:pt>
                <c:pt idx="26">
                  <c:v>24454.194065224747</c:v>
                </c:pt>
                <c:pt idx="27">
                  <c:v>24901.824962949526</c:v>
                </c:pt>
                <c:pt idx="28">
                  <c:v>25377.090283664089</c:v>
                </c:pt>
              </c:numCache>
            </c:numRef>
          </c:yVal>
          <c:smooth val="1"/>
        </c:ser>
        <c:ser>
          <c:idx val="1"/>
          <c:order val="1"/>
          <c:tx>
            <c:v>D_c</c:v>
          </c:tx>
          <c:marker>
            <c:symbol val="none"/>
          </c:marker>
          <c:xVal>
            <c:numRef>
              <c:f>'h=35000'!$L$2:$L$30</c:f>
              <c:numCache>
                <c:formatCode>0.000</c:formatCode>
                <c:ptCount val="29"/>
                <c:pt idx="0">
                  <c:v>0.51126844676915473</c:v>
                </c:pt>
                <c:pt idx="1">
                  <c:v>0.5315006668042056</c:v>
                </c:pt>
                <c:pt idx="2">
                  <c:v>0.55173288683925648</c:v>
                </c:pt>
                <c:pt idx="3">
                  <c:v>0.57196510687430735</c:v>
                </c:pt>
                <c:pt idx="4">
                  <c:v>0.59219732690935822</c:v>
                </c:pt>
                <c:pt idx="5">
                  <c:v>0.6124295469444091</c:v>
                </c:pt>
                <c:pt idx="6">
                  <c:v>0.63266176697945997</c:v>
                </c:pt>
                <c:pt idx="7">
                  <c:v>0.65289398701451085</c:v>
                </c:pt>
                <c:pt idx="8">
                  <c:v>0.67312620704956172</c:v>
                </c:pt>
                <c:pt idx="9">
                  <c:v>0.69335842708461259</c:v>
                </c:pt>
                <c:pt idx="10">
                  <c:v>0.71359064711966358</c:v>
                </c:pt>
                <c:pt idx="11">
                  <c:v>0.73382286715471445</c:v>
                </c:pt>
                <c:pt idx="12">
                  <c:v>0.75405508718976533</c:v>
                </c:pt>
                <c:pt idx="13">
                  <c:v>0.7742873072248162</c:v>
                </c:pt>
                <c:pt idx="14">
                  <c:v>0.79451952725986708</c:v>
                </c:pt>
                <c:pt idx="15">
                  <c:v>0.81475174729491795</c:v>
                </c:pt>
                <c:pt idx="16">
                  <c:v>0.83498396732996882</c:v>
                </c:pt>
                <c:pt idx="17">
                  <c:v>0.8552161873650197</c:v>
                </c:pt>
                <c:pt idx="18">
                  <c:v>0.87544840740007068</c:v>
                </c:pt>
                <c:pt idx="19">
                  <c:v>0.89568062743512156</c:v>
                </c:pt>
                <c:pt idx="20">
                  <c:v>0.91591284747017243</c:v>
                </c:pt>
                <c:pt idx="21">
                  <c:v>0.93614506750522331</c:v>
                </c:pt>
                <c:pt idx="22">
                  <c:v>0.95637728754027418</c:v>
                </c:pt>
                <c:pt idx="23">
                  <c:v>0.97660950757532505</c:v>
                </c:pt>
                <c:pt idx="24">
                  <c:v>0.99684172761037593</c:v>
                </c:pt>
                <c:pt idx="25">
                  <c:v>1.0170739476454269</c:v>
                </c:pt>
                <c:pt idx="26">
                  <c:v>1.0373061676804778</c:v>
                </c:pt>
                <c:pt idx="27">
                  <c:v>1.0575383877155287</c:v>
                </c:pt>
                <c:pt idx="28">
                  <c:v>1.0777706077505795</c:v>
                </c:pt>
              </c:numCache>
            </c:numRef>
          </c:xVal>
          <c:yVal>
            <c:numRef>
              <c:f>'h=35000'!$U$2:$U$22</c:f>
              <c:numCache>
                <c:formatCode>General</c:formatCode>
                <c:ptCount val="21"/>
                <c:pt idx="0">
                  <c:v>31782.10070001987</c:v>
                </c:pt>
                <c:pt idx="1">
                  <c:v>30079.810009909765</c:v>
                </c:pt>
                <c:pt idx="2">
                  <c:v>28612.514181559138</c:v>
                </c:pt>
                <c:pt idx="3">
                  <c:v>27349.438834897632</c:v>
                </c:pt>
                <c:pt idx="4">
                  <c:v>26264.975090300508</c:v>
                </c:pt>
                <c:pt idx="5">
                  <c:v>25337.673010642651</c:v>
                </c:pt>
                <c:pt idx="6">
                  <c:v>24549.456656731771</c:v>
                </c:pt>
                <c:pt idx="7">
                  <c:v>23885.006697827437</c:v>
                </c:pt>
                <c:pt idx="8">
                  <c:v>23331.270913745844</c:v>
                </c:pt>
                <c:pt idx="9">
                  <c:v>22877.073183530098</c:v>
                </c:pt>
                <c:pt idx="10">
                  <c:v>22512.798948649805</c:v>
                </c:pt>
                <c:pt idx="11">
                  <c:v>22230.140522662408</c:v>
                </c:pt>
                <c:pt idx="12">
                  <c:v>22021.889578837821</c:v>
                </c:pt>
                <c:pt idx="13">
                  <c:v>21881.76708623828</c:v>
                </c:pt>
                <c:pt idx="14">
                  <c:v>21804.283165232024</c:v>
                </c:pt>
                <c:pt idx="15">
                  <c:v>21784.620994514269</c:v>
                </c:pt>
                <c:pt idx="16">
                  <c:v>23326.906779859062</c:v>
                </c:pt>
                <c:pt idx="17">
                  <c:v>29503.316023354855</c:v>
                </c:pt>
                <c:pt idx="18">
                  <c:v>35679.725266850677</c:v>
                </c:pt>
                <c:pt idx="19">
                  <c:v>41856.13451034647</c:v>
                </c:pt>
                <c:pt idx="20">
                  <c:v>48032.543753842256</c:v>
                </c:pt>
              </c:numCache>
            </c:numRef>
          </c:yVal>
          <c:smooth val="1"/>
        </c:ser>
        <c:ser>
          <c:idx val="2"/>
          <c:order val="2"/>
          <c:tx>
            <c:v>Td</c:v>
          </c:tx>
          <c:marker>
            <c:symbol val="none"/>
          </c:marker>
          <c:xVal>
            <c:numRef>
              <c:f>'h=35000'!$L$2:$L$30</c:f>
              <c:numCache>
                <c:formatCode>0.000</c:formatCode>
                <c:ptCount val="29"/>
                <c:pt idx="0">
                  <c:v>0.51126844676915473</c:v>
                </c:pt>
                <c:pt idx="1">
                  <c:v>0.5315006668042056</c:v>
                </c:pt>
                <c:pt idx="2">
                  <c:v>0.55173288683925648</c:v>
                </c:pt>
                <c:pt idx="3">
                  <c:v>0.57196510687430735</c:v>
                </c:pt>
                <c:pt idx="4">
                  <c:v>0.59219732690935822</c:v>
                </c:pt>
                <c:pt idx="5">
                  <c:v>0.6124295469444091</c:v>
                </c:pt>
                <c:pt idx="6">
                  <c:v>0.63266176697945997</c:v>
                </c:pt>
                <c:pt idx="7">
                  <c:v>0.65289398701451085</c:v>
                </c:pt>
                <c:pt idx="8">
                  <c:v>0.67312620704956172</c:v>
                </c:pt>
                <c:pt idx="9">
                  <c:v>0.69335842708461259</c:v>
                </c:pt>
                <c:pt idx="10">
                  <c:v>0.71359064711966358</c:v>
                </c:pt>
                <c:pt idx="11">
                  <c:v>0.73382286715471445</c:v>
                </c:pt>
                <c:pt idx="12">
                  <c:v>0.75405508718976533</c:v>
                </c:pt>
                <c:pt idx="13">
                  <c:v>0.7742873072248162</c:v>
                </c:pt>
                <c:pt idx="14">
                  <c:v>0.79451952725986708</c:v>
                </c:pt>
                <c:pt idx="15">
                  <c:v>0.81475174729491795</c:v>
                </c:pt>
                <c:pt idx="16">
                  <c:v>0.83498396732996882</c:v>
                </c:pt>
                <c:pt idx="17">
                  <c:v>0.8552161873650197</c:v>
                </c:pt>
                <c:pt idx="18">
                  <c:v>0.87544840740007068</c:v>
                </c:pt>
                <c:pt idx="19">
                  <c:v>0.89568062743512156</c:v>
                </c:pt>
                <c:pt idx="20">
                  <c:v>0.91591284747017243</c:v>
                </c:pt>
                <c:pt idx="21">
                  <c:v>0.93614506750522331</c:v>
                </c:pt>
                <c:pt idx="22">
                  <c:v>0.95637728754027418</c:v>
                </c:pt>
                <c:pt idx="23">
                  <c:v>0.97660950757532505</c:v>
                </c:pt>
                <c:pt idx="24">
                  <c:v>0.99684172761037593</c:v>
                </c:pt>
                <c:pt idx="25">
                  <c:v>1.0170739476454269</c:v>
                </c:pt>
                <c:pt idx="26">
                  <c:v>1.0373061676804778</c:v>
                </c:pt>
                <c:pt idx="27">
                  <c:v>1.0575383877155287</c:v>
                </c:pt>
                <c:pt idx="28">
                  <c:v>1.0777706077505795</c:v>
                </c:pt>
              </c:numCache>
            </c:numRef>
          </c:xVal>
          <c:yVal>
            <c:numRef>
              <c:f>'h=35000'!$M$2:$M$30</c:f>
              <c:numCache>
                <c:formatCode>General</c:formatCode>
                <c:ptCount val="29"/>
                <c:pt idx="0">
                  <c:v>25762.637290192866</c:v>
                </c:pt>
                <c:pt idx="1">
                  <c:v>25762.637290192866</c:v>
                </c:pt>
                <c:pt idx="2">
                  <c:v>25762.637290192866</c:v>
                </c:pt>
                <c:pt idx="3">
                  <c:v>25762.637290192866</c:v>
                </c:pt>
                <c:pt idx="4">
                  <c:v>25762.637290192866</c:v>
                </c:pt>
                <c:pt idx="5">
                  <c:v>25762.637290192866</c:v>
                </c:pt>
                <c:pt idx="6">
                  <c:v>25762.637290192866</c:v>
                </c:pt>
                <c:pt idx="7">
                  <c:v>25762.637290192866</c:v>
                </c:pt>
                <c:pt idx="8">
                  <c:v>25762.637290192866</c:v>
                </c:pt>
                <c:pt idx="9">
                  <c:v>25762.637290192866</c:v>
                </c:pt>
                <c:pt idx="10">
                  <c:v>25762.637290192866</c:v>
                </c:pt>
                <c:pt idx="11">
                  <c:v>25762.637290192866</c:v>
                </c:pt>
                <c:pt idx="12">
                  <c:v>25762.637290192866</c:v>
                </c:pt>
                <c:pt idx="13">
                  <c:v>25762.637290192866</c:v>
                </c:pt>
                <c:pt idx="14">
                  <c:v>25762.637290192866</c:v>
                </c:pt>
                <c:pt idx="15">
                  <c:v>25762.637290192866</c:v>
                </c:pt>
                <c:pt idx="16">
                  <c:v>25762.637290192866</c:v>
                </c:pt>
                <c:pt idx="17">
                  <c:v>25762.637290192866</c:v>
                </c:pt>
                <c:pt idx="18">
                  <c:v>25762.637290192866</c:v>
                </c:pt>
                <c:pt idx="19">
                  <c:v>25762.637290192866</c:v>
                </c:pt>
                <c:pt idx="20">
                  <c:v>25762.637290192866</c:v>
                </c:pt>
                <c:pt idx="21">
                  <c:v>25762.637290192866</c:v>
                </c:pt>
                <c:pt idx="22">
                  <c:v>25762.637290192866</c:v>
                </c:pt>
                <c:pt idx="23">
                  <c:v>25762.637290192866</c:v>
                </c:pt>
                <c:pt idx="24">
                  <c:v>25762.637290192866</c:v>
                </c:pt>
                <c:pt idx="25">
                  <c:v>25762.637290192866</c:v>
                </c:pt>
                <c:pt idx="26">
                  <c:v>25762.637290192866</c:v>
                </c:pt>
                <c:pt idx="27">
                  <c:v>25762.637290192866</c:v>
                </c:pt>
                <c:pt idx="28">
                  <c:v>25762.637290192866</c:v>
                </c:pt>
              </c:numCache>
            </c:numRef>
          </c:yVal>
          <c:smooth val="1"/>
        </c:ser>
        <c:axId val="74818688"/>
        <c:axId val="75948800"/>
      </c:scatterChart>
      <c:valAx>
        <c:axId val="74818688"/>
        <c:scaling>
          <c:orientation val="minMax"/>
          <c:max val="1.1000000000000001"/>
          <c:min val="0.8"/>
        </c:scaling>
        <c:axPos val="b"/>
        <c:majorGridlines/>
        <c:numFmt formatCode="0.00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75948800"/>
        <c:crosses val="autoZero"/>
        <c:crossBetween val="midCat"/>
        <c:majorUnit val="2.0000000000000004E-2"/>
      </c:valAx>
      <c:valAx>
        <c:axId val="75948800"/>
        <c:scaling>
          <c:orientation val="minMax"/>
          <c:max val="40000"/>
          <c:min val="20000"/>
        </c:scaling>
        <c:axPos val="l"/>
        <c:majorGridlines/>
        <c:numFmt formatCode="0.0" sourceLinked="1"/>
        <c:tickLblPos val="nextTo"/>
        <c:crossAx val="74818688"/>
        <c:crosses val="autoZero"/>
        <c:crossBetween val="midCat"/>
        <c:majorUnit val="10000"/>
        <c:minorUnit val="2000"/>
      </c:valAx>
    </c:plotArea>
    <c:legend>
      <c:legendPos val="r"/>
      <c:layout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2347904"/>
        <c:axId val="62366080"/>
      </c:scatterChart>
      <c:valAx>
        <c:axId val="6234790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366080"/>
        <c:crosses val="autoZero"/>
        <c:crossBetween val="midCat"/>
      </c:valAx>
      <c:valAx>
        <c:axId val="623660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347904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2538880"/>
        <c:axId val="62540416"/>
      </c:scatterChart>
      <c:valAx>
        <c:axId val="6253888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540416"/>
        <c:crosses val="autoZero"/>
        <c:crossBetween val="midCat"/>
      </c:valAx>
      <c:valAx>
        <c:axId val="625404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538880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2741888"/>
        <c:axId val="62747776"/>
      </c:scatterChart>
      <c:valAx>
        <c:axId val="6274188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747776"/>
        <c:crosses val="autoZero"/>
        <c:crossBetween val="midCat"/>
      </c:valAx>
      <c:valAx>
        <c:axId val="627477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741888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4651264"/>
        <c:axId val="64652800"/>
      </c:scatterChart>
      <c:valAx>
        <c:axId val="6465126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4652800"/>
        <c:crosses val="autoZero"/>
        <c:crossBetween val="midCat"/>
      </c:valAx>
      <c:valAx>
        <c:axId val="646528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4651264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2793600"/>
        <c:axId val="62795136"/>
      </c:scatterChart>
      <c:valAx>
        <c:axId val="6279360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795136"/>
        <c:crosses val="autoZero"/>
        <c:crossBetween val="midCat"/>
      </c:valAx>
      <c:valAx>
        <c:axId val="627951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793600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2693760"/>
        <c:axId val="62695296"/>
      </c:scatterChart>
      <c:valAx>
        <c:axId val="6269376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695296"/>
        <c:crosses val="autoZero"/>
        <c:crossBetween val="midCat"/>
      </c:valAx>
      <c:valAx>
        <c:axId val="626952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693760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2970496"/>
        <c:axId val="63046016"/>
      </c:scatterChart>
      <c:valAx>
        <c:axId val="6297049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3046016"/>
        <c:crosses val="autoZero"/>
        <c:crossBetween val="midCat"/>
      </c:valAx>
      <c:valAx>
        <c:axId val="630460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970496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2940672"/>
        <c:axId val="62942208"/>
      </c:scatterChart>
      <c:valAx>
        <c:axId val="6294067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942208"/>
        <c:crosses val="autoZero"/>
        <c:crossBetween val="midCat"/>
      </c:valAx>
      <c:valAx>
        <c:axId val="6294220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940672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5581056"/>
        <c:axId val="65582592"/>
      </c:scatterChart>
      <c:valAx>
        <c:axId val="6558105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5582592"/>
        <c:crosses val="autoZero"/>
        <c:crossBetween val="midCat"/>
      </c:valAx>
      <c:valAx>
        <c:axId val="655825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5581056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3068416"/>
        <c:axId val="63082496"/>
      </c:scatterChart>
      <c:valAx>
        <c:axId val="6306841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3082496"/>
        <c:crosses val="autoZero"/>
        <c:crossBetween val="midCat"/>
      </c:valAx>
      <c:valAx>
        <c:axId val="630824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3068416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5630976"/>
        <c:axId val="65632512"/>
      </c:scatterChart>
      <c:valAx>
        <c:axId val="6563097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5632512"/>
        <c:crosses val="autoZero"/>
        <c:crossBetween val="midCat"/>
      </c:valAx>
      <c:valAx>
        <c:axId val="656325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5630976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3253504"/>
        <c:axId val="63259392"/>
      </c:scatterChart>
      <c:valAx>
        <c:axId val="6325350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3259392"/>
        <c:crosses val="autoZero"/>
        <c:crossBetween val="midCat"/>
      </c:valAx>
      <c:valAx>
        <c:axId val="632593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3253504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5697280"/>
        <c:axId val="65698816"/>
      </c:scatterChart>
      <c:valAx>
        <c:axId val="6569728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5698816"/>
        <c:crosses val="autoZero"/>
        <c:crossBetween val="midCat"/>
      </c:valAx>
      <c:valAx>
        <c:axId val="656988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5697280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5748992"/>
        <c:axId val="65750528"/>
      </c:scatterChart>
      <c:valAx>
        <c:axId val="6574899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5750528"/>
        <c:crosses val="autoZero"/>
        <c:crossBetween val="midCat"/>
      </c:valAx>
      <c:valAx>
        <c:axId val="657505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5748992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4694912"/>
        <c:axId val="64704896"/>
      </c:scatterChart>
      <c:valAx>
        <c:axId val="6469491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4704896"/>
        <c:crosses val="autoZero"/>
        <c:crossBetween val="midCat"/>
      </c:valAx>
      <c:valAx>
        <c:axId val="647048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4694912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3383808"/>
        <c:axId val="63385600"/>
      </c:scatterChart>
      <c:valAx>
        <c:axId val="6338380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3385600"/>
        <c:crosses val="autoZero"/>
        <c:crossBetween val="midCat"/>
      </c:valAx>
      <c:valAx>
        <c:axId val="633856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3383808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5807104"/>
        <c:axId val="65808640"/>
      </c:scatterChart>
      <c:valAx>
        <c:axId val="6580710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5808640"/>
        <c:crosses val="autoZero"/>
        <c:crossBetween val="midCat"/>
      </c:valAx>
      <c:valAx>
        <c:axId val="658086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5807104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5829888"/>
        <c:axId val="65831680"/>
      </c:scatterChart>
      <c:valAx>
        <c:axId val="6582988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5831680"/>
        <c:crosses val="autoZero"/>
        <c:crossBetween val="midCat"/>
      </c:valAx>
      <c:valAx>
        <c:axId val="658316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5829888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3424000"/>
        <c:axId val="63425536"/>
      </c:scatterChart>
      <c:valAx>
        <c:axId val="6342400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3425536"/>
        <c:crosses val="autoZero"/>
        <c:crossBetween val="midCat"/>
      </c:valAx>
      <c:valAx>
        <c:axId val="634255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3424000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0.13141696954505583"/>
          <c:y val="3.4229869715901154E-2"/>
          <c:w val="0.63860433638300595"/>
          <c:h val="0.85574674289752883"/>
        </c:manualLayout>
      </c:layout>
      <c:scatterChart>
        <c:scatterStyle val="smoothMarker"/>
        <c:ser>
          <c:idx val="3"/>
          <c:order val="0"/>
          <c:tx>
            <c:v>Drag S/L</c:v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xVal>
            <c:numRef>
              <c:f>SL!$L$2:$L$30</c:f>
              <c:numCache>
                <c:formatCode>0.000</c:formatCode>
                <c:ptCount val="29"/>
                <c:pt idx="0">
                  <c:v>0.24792952538068763</c:v>
                </c:pt>
                <c:pt idx="1">
                  <c:v>0.26556102699690859</c:v>
                </c:pt>
                <c:pt idx="2">
                  <c:v>0.2831925286131296</c:v>
                </c:pt>
                <c:pt idx="3">
                  <c:v>0.30082403022935056</c:v>
                </c:pt>
                <c:pt idx="4">
                  <c:v>0.31845553184557157</c:v>
                </c:pt>
                <c:pt idx="5">
                  <c:v>0.33608703346179253</c:v>
                </c:pt>
                <c:pt idx="6">
                  <c:v>0.35371853507801349</c:v>
                </c:pt>
                <c:pt idx="7">
                  <c:v>0.3713500366942345</c:v>
                </c:pt>
                <c:pt idx="8">
                  <c:v>0.38898153831045545</c:v>
                </c:pt>
                <c:pt idx="9">
                  <c:v>0.40661303992667647</c:v>
                </c:pt>
                <c:pt idx="10">
                  <c:v>0.42424454154289742</c:v>
                </c:pt>
                <c:pt idx="11">
                  <c:v>0.44187604315911844</c:v>
                </c:pt>
                <c:pt idx="12">
                  <c:v>0.45950754477533939</c:v>
                </c:pt>
                <c:pt idx="13">
                  <c:v>0.47713904639156035</c:v>
                </c:pt>
                <c:pt idx="14">
                  <c:v>0.49477054800778136</c:v>
                </c:pt>
                <c:pt idx="15">
                  <c:v>0.51240204962400238</c:v>
                </c:pt>
                <c:pt idx="16">
                  <c:v>0.53003355124022333</c:v>
                </c:pt>
                <c:pt idx="17">
                  <c:v>0.54766505285644429</c:v>
                </c:pt>
                <c:pt idx="18">
                  <c:v>0.56529655447266525</c:v>
                </c:pt>
                <c:pt idx="19">
                  <c:v>0.58292805608888631</c:v>
                </c:pt>
                <c:pt idx="20">
                  <c:v>0.60055955770510727</c:v>
                </c:pt>
                <c:pt idx="21">
                  <c:v>0.61819105932132823</c:v>
                </c:pt>
                <c:pt idx="22">
                  <c:v>0.63582256093754919</c:v>
                </c:pt>
                <c:pt idx="23">
                  <c:v>0.65345406255377014</c:v>
                </c:pt>
                <c:pt idx="24">
                  <c:v>0.67108556416999121</c:v>
                </c:pt>
                <c:pt idx="25">
                  <c:v>0.68871706578621217</c:v>
                </c:pt>
                <c:pt idx="26">
                  <c:v>0.70634856740243313</c:v>
                </c:pt>
                <c:pt idx="27">
                  <c:v>0.72398006901865408</c:v>
                </c:pt>
                <c:pt idx="28">
                  <c:v>0.74161157063487504</c:v>
                </c:pt>
              </c:numCache>
            </c:numRef>
          </c:xVal>
          <c:yVal>
            <c:numRef>
              <c:f>SL!$I$2:$I$30</c:f>
              <c:numCache>
                <c:formatCode>0.0</c:formatCode>
                <c:ptCount val="29"/>
                <c:pt idx="0">
                  <c:v>31782.100700019862</c:v>
                </c:pt>
                <c:pt idx="1">
                  <c:v>28892.832127987676</c:v>
                </c:pt>
                <c:pt idx="2">
                  <c:v>26685.025053918038</c:v>
                </c:pt>
                <c:pt idx="3">
                  <c:v>25013.638695340996</c:v>
                </c:pt>
                <c:pt idx="4">
                  <c:v>23772.636329479752</c:v>
                </c:pt>
                <c:pt idx="5">
                  <c:v>22883.043590872534</c:v>
                </c:pt>
                <c:pt idx="6">
                  <c:v>22285.064388601968</c:v>
                </c:pt>
                <c:pt idx="7">
                  <c:v>21932.751969584129</c:v>
                </c:pt>
                <c:pt idx="8">
                  <c:v>21790.330756342424</c:v>
                </c:pt>
                <c:pt idx="9">
                  <c:v>21829.609386201115</c:v>
                </c:pt>
                <c:pt idx="10">
                  <c:v>22028.130068919883</c:v>
                </c:pt>
                <c:pt idx="11">
                  <c:v>22367.824134709146</c:v>
                </c:pt>
                <c:pt idx="12">
                  <c:v>22834.021507690511</c:v>
                </c:pt>
                <c:pt idx="13">
                  <c:v>23414.711494666633</c:v>
                </c:pt>
                <c:pt idx="14">
                  <c:v>24099.984572714802</c:v>
                </c:pt>
                <c:pt idx="15">
                  <c:v>24881.606242552534</c:v>
                </c:pt>
                <c:pt idx="16">
                  <c:v>25752.688409540398</c:v>
                </c:pt>
                <c:pt idx="17">
                  <c:v>26707.433593255675</c:v>
                </c:pt>
                <c:pt idx="18">
                  <c:v>27740.934087082442</c:v>
                </c:pt>
                <c:pt idx="19">
                  <c:v>28849.012979504128</c:v>
                </c:pt>
                <c:pt idx="20">
                  <c:v>30028.097354281501</c:v>
                </c:pt>
                <c:pt idx="21">
                  <c:v>31275.116435378677</c:v>
                </c:pt>
                <c:pt idx="22">
                  <c:v>32587.419221976328</c:v>
                </c:pt>
                <c:pt idx="23">
                  <c:v>33962.707464997802</c:v>
                </c:pt>
                <c:pt idx="24">
                  <c:v>35398.980804200932</c:v>
                </c:pt>
                <c:pt idx="25">
                  <c:v>36894.491608093937</c:v>
                </c:pt>
                <c:pt idx="26">
                  <c:v>38447.707603955554</c:v>
                </c:pt>
                <c:pt idx="27">
                  <c:v>40057.280799205313</c:v>
                </c:pt>
                <c:pt idx="28">
                  <c:v>41722.021512129111</c:v>
                </c:pt>
              </c:numCache>
            </c:numRef>
          </c:yVal>
          <c:smooth val="1"/>
        </c:ser>
        <c:ser>
          <c:idx val="4"/>
          <c:order val="1"/>
          <c:tx>
            <c:v>Td S/L</c:v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xVal>
            <c:numRef>
              <c:f>SL!$L$2:$L$30</c:f>
              <c:numCache>
                <c:formatCode>0.000</c:formatCode>
                <c:ptCount val="29"/>
                <c:pt idx="0">
                  <c:v>0.24792952538068763</c:v>
                </c:pt>
                <c:pt idx="1">
                  <c:v>0.26556102699690859</c:v>
                </c:pt>
                <c:pt idx="2">
                  <c:v>0.2831925286131296</c:v>
                </c:pt>
                <c:pt idx="3">
                  <c:v>0.30082403022935056</c:v>
                </c:pt>
                <c:pt idx="4">
                  <c:v>0.31845553184557157</c:v>
                </c:pt>
                <c:pt idx="5">
                  <c:v>0.33608703346179253</c:v>
                </c:pt>
                <c:pt idx="6">
                  <c:v>0.35371853507801349</c:v>
                </c:pt>
                <c:pt idx="7">
                  <c:v>0.3713500366942345</c:v>
                </c:pt>
                <c:pt idx="8">
                  <c:v>0.38898153831045545</c:v>
                </c:pt>
                <c:pt idx="9">
                  <c:v>0.40661303992667647</c:v>
                </c:pt>
                <c:pt idx="10">
                  <c:v>0.42424454154289742</c:v>
                </c:pt>
                <c:pt idx="11">
                  <c:v>0.44187604315911844</c:v>
                </c:pt>
                <c:pt idx="12">
                  <c:v>0.45950754477533939</c:v>
                </c:pt>
                <c:pt idx="13">
                  <c:v>0.47713904639156035</c:v>
                </c:pt>
                <c:pt idx="14">
                  <c:v>0.49477054800778136</c:v>
                </c:pt>
                <c:pt idx="15">
                  <c:v>0.51240204962400238</c:v>
                </c:pt>
                <c:pt idx="16">
                  <c:v>0.53003355124022333</c:v>
                </c:pt>
                <c:pt idx="17">
                  <c:v>0.54766505285644429</c:v>
                </c:pt>
                <c:pt idx="18">
                  <c:v>0.56529655447266525</c:v>
                </c:pt>
                <c:pt idx="19">
                  <c:v>0.58292805608888631</c:v>
                </c:pt>
                <c:pt idx="20">
                  <c:v>0.60055955770510727</c:v>
                </c:pt>
                <c:pt idx="21">
                  <c:v>0.61819105932132823</c:v>
                </c:pt>
                <c:pt idx="22">
                  <c:v>0.63582256093754919</c:v>
                </c:pt>
                <c:pt idx="23">
                  <c:v>0.65345406255377014</c:v>
                </c:pt>
                <c:pt idx="24">
                  <c:v>0.67108556416999121</c:v>
                </c:pt>
                <c:pt idx="25">
                  <c:v>0.68871706578621217</c:v>
                </c:pt>
                <c:pt idx="26">
                  <c:v>0.70634856740243313</c:v>
                </c:pt>
                <c:pt idx="27">
                  <c:v>0.72398006901865408</c:v>
                </c:pt>
                <c:pt idx="28">
                  <c:v>0.74161157063487504</c:v>
                </c:pt>
              </c:numCache>
            </c:numRef>
          </c:xVal>
          <c:yVal>
            <c:numRef>
              <c:f>SL!$M$2:$M$30</c:f>
              <c:numCache>
                <c:formatCode>General</c:formatCode>
                <c:ptCount val="29"/>
                <c:pt idx="0">
                  <c:v>64785.516142590794</c:v>
                </c:pt>
                <c:pt idx="1">
                  <c:v>63702.695894400051</c:v>
                </c:pt>
                <c:pt idx="2">
                  <c:v>62649.981774585278</c:v>
                </c:pt>
                <c:pt idx="3">
                  <c:v>61627.373783146431</c:v>
                </c:pt>
                <c:pt idx="4">
                  <c:v>60634.871920083555</c:v>
                </c:pt>
                <c:pt idx="5">
                  <c:v>59672.476185396612</c:v>
                </c:pt>
                <c:pt idx="6">
                  <c:v>58740.186579085632</c:v>
                </c:pt>
                <c:pt idx="7">
                  <c:v>57838.003101150585</c:v>
                </c:pt>
                <c:pt idx="8">
                  <c:v>56965.925751591509</c:v>
                </c:pt>
                <c:pt idx="9">
                  <c:v>56123.954530408373</c:v>
                </c:pt>
                <c:pt idx="10">
                  <c:v>55312.089437601186</c:v>
                </c:pt>
                <c:pt idx="11">
                  <c:v>54530.330473169939</c:v>
                </c:pt>
                <c:pt idx="12">
                  <c:v>53778.677637114648</c:v>
                </c:pt>
                <c:pt idx="13">
                  <c:v>53057.130929435312</c:v>
                </c:pt>
                <c:pt idx="14">
                  <c:v>52365.690350131925</c:v>
                </c:pt>
                <c:pt idx="15">
                  <c:v>51704.355899204478</c:v>
                </c:pt>
                <c:pt idx="16">
                  <c:v>51073.127576652987</c:v>
                </c:pt>
                <c:pt idx="17">
                  <c:v>50472.005382477444</c:v>
                </c:pt>
                <c:pt idx="18">
                  <c:v>49900.989316677857</c:v>
                </c:pt>
                <c:pt idx="19">
                  <c:v>49360.07937925421</c:v>
                </c:pt>
                <c:pt idx="20">
                  <c:v>48849.275570206519</c:v>
                </c:pt>
                <c:pt idx="21">
                  <c:v>48368.577889534776</c:v>
                </c:pt>
                <c:pt idx="22">
                  <c:v>47917.986337238974</c:v>
                </c:pt>
                <c:pt idx="23">
                  <c:v>47497.500913319127</c:v>
                </c:pt>
                <c:pt idx="24">
                  <c:v>47107.121617775229</c:v>
                </c:pt>
                <c:pt idx="25">
                  <c:v>46746.848450607285</c:v>
                </c:pt>
                <c:pt idx="26">
                  <c:v>46416.681411815291</c:v>
                </c:pt>
                <c:pt idx="27">
                  <c:v>46116.620501399244</c:v>
                </c:pt>
                <c:pt idx="28">
                  <c:v>45846.665719359138</c:v>
                </c:pt>
              </c:numCache>
            </c:numRef>
          </c:yVal>
          <c:smooth val="1"/>
        </c:ser>
        <c:ser>
          <c:idx val="5"/>
          <c:order val="2"/>
          <c:tx>
            <c:v>Td S/L approx</c:v>
          </c:tx>
          <c:spPr>
            <a:ln>
              <a:solidFill>
                <a:srgbClr val="00B0F0"/>
              </a:solidFill>
              <a:prstDash val="dash"/>
            </a:ln>
          </c:spPr>
          <c:marker>
            <c:symbol val="none"/>
          </c:marker>
          <c:xVal>
            <c:numRef>
              <c:f>GRAFICO!$M$3:$M$4</c:f>
              <c:numCache>
                <c:formatCode>General</c:formatCode>
                <c:ptCount val="2"/>
                <c:pt idx="0">
                  <c:v>0.1</c:v>
                </c:pt>
                <c:pt idx="1">
                  <c:v>1</c:v>
                </c:pt>
              </c:numCache>
            </c:numRef>
          </c:xVal>
          <c:yVal>
            <c:numRef>
              <c:f>GRAFICO!$N$3:$N$4</c:f>
              <c:numCache>
                <c:formatCode>General</c:formatCode>
                <c:ptCount val="2"/>
                <c:pt idx="0">
                  <c:v>83200</c:v>
                </c:pt>
                <c:pt idx="1">
                  <c:v>83200</c:v>
                </c:pt>
              </c:numCache>
            </c:numRef>
          </c:yVal>
          <c:smooth val="1"/>
        </c:ser>
        <c:ser>
          <c:idx val="6"/>
          <c:order val="3"/>
          <c:tx>
            <c:v>Drag 20000ft</c:v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xVal>
            <c:numRef>
              <c:f>'h=20000'!$L$2:$L$30</c:f>
              <c:numCache>
                <c:formatCode>0.000</c:formatCode>
                <c:ptCount val="29"/>
                <c:pt idx="0">
                  <c:v>0.36579162628647188</c:v>
                </c:pt>
                <c:pt idx="1">
                  <c:v>0.38477620164759685</c:v>
                </c:pt>
                <c:pt idx="2">
                  <c:v>0.40376077700872182</c:v>
                </c:pt>
                <c:pt idx="3">
                  <c:v>0.42274535236984667</c:v>
                </c:pt>
                <c:pt idx="4">
                  <c:v>0.44172992773097164</c:v>
                </c:pt>
                <c:pt idx="5">
                  <c:v>0.46071450309209655</c:v>
                </c:pt>
                <c:pt idx="6">
                  <c:v>0.47969907845322152</c:v>
                </c:pt>
                <c:pt idx="7">
                  <c:v>0.49868365381434648</c:v>
                </c:pt>
                <c:pt idx="8">
                  <c:v>0.51766822917547139</c:v>
                </c:pt>
                <c:pt idx="9">
                  <c:v>0.53665280453659636</c:v>
                </c:pt>
                <c:pt idx="10">
                  <c:v>0.55563737989772133</c:v>
                </c:pt>
                <c:pt idx="11">
                  <c:v>0.57462195525884618</c:v>
                </c:pt>
                <c:pt idx="12">
                  <c:v>0.59360653061997115</c:v>
                </c:pt>
                <c:pt idx="13">
                  <c:v>0.61259110598109612</c:v>
                </c:pt>
                <c:pt idx="14">
                  <c:v>0.63157568134222108</c:v>
                </c:pt>
                <c:pt idx="15">
                  <c:v>0.65056025670334594</c:v>
                </c:pt>
                <c:pt idx="16">
                  <c:v>0.66954483206447091</c:v>
                </c:pt>
                <c:pt idx="17">
                  <c:v>0.68852940742559587</c:v>
                </c:pt>
                <c:pt idx="18">
                  <c:v>0.70751398278672084</c:v>
                </c:pt>
                <c:pt idx="19">
                  <c:v>0.72649855814784581</c:v>
                </c:pt>
                <c:pt idx="20">
                  <c:v>0.74548313350897066</c:v>
                </c:pt>
                <c:pt idx="21">
                  <c:v>0.76446770887009563</c:v>
                </c:pt>
                <c:pt idx="22">
                  <c:v>0.7834522842312206</c:v>
                </c:pt>
                <c:pt idx="23">
                  <c:v>0.80243685959234556</c:v>
                </c:pt>
                <c:pt idx="24">
                  <c:v>0.82142143495347053</c:v>
                </c:pt>
                <c:pt idx="25">
                  <c:v>0.84040601031459539</c:v>
                </c:pt>
                <c:pt idx="26">
                  <c:v>0.85939058567572035</c:v>
                </c:pt>
                <c:pt idx="27">
                  <c:v>0.87837516103684532</c:v>
                </c:pt>
                <c:pt idx="28">
                  <c:v>0.89735973639797029</c:v>
                </c:pt>
              </c:numCache>
            </c:numRef>
          </c:xVal>
          <c:yVal>
            <c:numRef>
              <c:f>'h=20000'!$I$2:$I$30</c:f>
              <c:numCache>
                <c:formatCode>0.0</c:formatCode>
                <c:ptCount val="29"/>
                <c:pt idx="0">
                  <c:v>31782.100700019859</c:v>
                </c:pt>
                <c:pt idx="1">
                  <c:v>29599.085789804467</c:v>
                </c:pt>
                <c:pt idx="2">
                  <c:v>27803.330728819234</c:v>
                </c:pt>
                <c:pt idx="3">
                  <c:v>26330.944320230141</c:v>
                </c:pt>
                <c:pt idx="4">
                  <c:v>25131.462730553547</c:v>
                </c:pt>
                <c:pt idx="5">
                  <c:v>24164.600246493985</c:v>
                </c:pt>
                <c:pt idx="6">
                  <c:v>23397.881679277769</c:v>
                </c:pt>
                <c:pt idx="7">
                  <c:v>22804.893248260185</c:v>
                </c:pt>
                <c:pt idx="8">
                  <c:v>22363.973961692162</c:v>
                </c:pt>
                <c:pt idx="9">
                  <c:v>22057.225127160851</c:v>
                </c:pt>
                <c:pt idx="10">
                  <c:v>21869.752579499898</c:v>
                </c:pt>
                <c:pt idx="11">
                  <c:v>21789.081172241105</c:v>
                </c:pt>
                <c:pt idx="12">
                  <c:v>21804.698189030969</c:v>
                </c:pt>
                <c:pt idx="13">
                  <c:v>21907.694225394767</c:v>
                </c:pt>
                <c:pt idx="14">
                  <c:v>22090.478466262088</c:v>
                </c:pt>
                <c:pt idx="15">
                  <c:v>22346.551253001231</c:v>
                </c:pt>
                <c:pt idx="16">
                  <c:v>22670.321134810099</c:v>
                </c:pt>
                <c:pt idx="17">
                  <c:v>23056.956731534941</c:v>
                </c:pt>
                <c:pt idx="18">
                  <c:v>23502.266038493271</c:v>
                </c:pt>
                <c:pt idx="19">
                  <c:v>24002.597513620502</c:v>
                </c:pt>
                <c:pt idx="20">
                  <c:v>24554.758567358949</c:v>
                </c:pt>
                <c:pt idx="21">
                  <c:v>25155.948042007196</c:v>
                </c:pt>
                <c:pt idx="22">
                  <c:v>25803.700002336052</c:v>
                </c:pt>
                <c:pt idx="23">
                  <c:v>26495.836722584812</c:v>
                </c:pt>
                <c:pt idx="24">
                  <c:v>27230.429189624792</c:v>
                </c:pt>
                <c:pt idx="25">
                  <c:v>28005.763779706293</c:v>
                </c:pt>
                <c:pt idx="26">
                  <c:v>28820.314030099966</c:v>
                </c:pt>
                <c:pt idx="27">
                  <c:v>29672.716634438806</c:v>
                </c:pt>
                <c:pt idx="28">
                  <c:v>30561.750954643561</c:v>
                </c:pt>
              </c:numCache>
            </c:numRef>
          </c:yVal>
          <c:smooth val="1"/>
        </c:ser>
        <c:ser>
          <c:idx val="7"/>
          <c:order val="4"/>
          <c:tx>
            <c:v>Td 20000ft</c:v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xVal>
            <c:numRef>
              <c:f>'h=20000'!$L$2:$L$30</c:f>
              <c:numCache>
                <c:formatCode>0.000</c:formatCode>
                <c:ptCount val="29"/>
                <c:pt idx="0">
                  <c:v>0.36579162628647188</c:v>
                </c:pt>
                <c:pt idx="1">
                  <c:v>0.38477620164759685</c:v>
                </c:pt>
                <c:pt idx="2">
                  <c:v>0.40376077700872182</c:v>
                </c:pt>
                <c:pt idx="3">
                  <c:v>0.42274535236984667</c:v>
                </c:pt>
                <c:pt idx="4">
                  <c:v>0.44172992773097164</c:v>
                </c:pt>
                <c:pt idx="5">
                  <c:v>0.46071450309209655</c:v>
                </c:pt>
                <c:pt idx="6">
                  <c:v>0.47969907845322152</c:v>
                </c:pt>
                <c:pt idx="7">
                  <c:v>0.49868365381434648</c:v>
                </c:pt>
                <c:pt idx="8">
                  <c:v>0.51766822917547139</c:v>
                </c:pt>
                <c:pt idx="9">
                  <c:v>0.53665280453659636</c:v>
                </c:pt>
                <c:pt idx="10">
                  <c:v>0.55563737989772133</c:v>
                </c:pt>
                <c:pt idx="11">
                  <c:v>0.57462195525884618</c:v>
                </c:pt>
                <c:pt idx="12">
                  <c:v>0.59360653061997115</c:v>
                </c:pt>
                <c:pt idx="13">
                  <c:v>0.61259110598109612</c:v>
                </c:pt>
                <c:pt idx="14">
                  <c:v>0.63157568134222108</c:v>
                </c:pt>
                <c:pt idx="15">
                  <c:v>0.65056025670334594</c:v>
                </c:pt>
                <c:pt idx="16">
                  <c:v>0.66954483206447091</c:v>
                </c:pt>
                <c:pt idx="17">
                  <c:v>0.68852940742559587</c:v>
                </c:pt>
                <c:pt idx="18">
                  <c:v>0.70751398278672084</c:v>
                </c:pt>
                <c:pt idx="19">
                  <c:v>0.72649855814784581</c:v>
                </c:pt>
                <c:pt idx="20">
                  <c:v>0.74548313350897066</c:v>
                </c:pt>
                <c:pt idx="21">
                  <c:v>0.76446770887009563</c:v>
                </c:pt>
                <c:pt idx="22">
                  <c:v>0.7834522842312206</c:v>
                </c:pt>
                <c:pt idx="23">
                  <c:v>0.80243685959234556</c:v>
                </c:pt>
                <c:pt idx="24">
                  <c:v>0.82142143495347053</c:v>
                </c:pt>
                <c:pt idx="25">
                  <c:v>0.84040601031459539</c:v>
                </c:pt>
                <c:pt idx="26">
                  <c:v>0.85939058567572035</c:v>
                </c:pt>
                <c:pt idx="27">
                  <c:v>0.87837516103684532</c:v>
                </c:pt>
                <c:pt idx="28">
                  <c:v>0.89735973639797029</c:v>
                </c:pt>
              </c:numCache>
            </c:numRef>
          </c:xVal>
          <c:yVal>
            <c:numRef>
              <c:f>'h=20000'!$M$2:$M$30</c:f>
              <c:numCache>
                <c:formatCode>General</c:formatCode>
                <c:ptCount val="29"/>
                <c:pt idx="0">
                  <c:v>40415.887674537866</c:v>
                </c:pt>
                <c:pt idx="1">
                  <c:v>40103.2187129386</c:v>
                </c:pt>
                <c:pt idx="2">
                  <c:v>39795.587475486442</c:v>
                </c:pt>
                <c:pt idx="3">
                  <c:v>39492.993962181397</c:v>
                </c:pt>
                <c:pt idx="4">
                  <c:v>39195.438173023475</c:v>
                </c:pt>
                <c:pt idx="5">
                  <c:v>38902.920108012659</c:v>
                </c:pt>
                <c:pt idx="6">
                  <c:v>38615.439767148957</c:v>
                </c:pt>
                <c:pt idx="7">
                  <c:v>38332.997150432377</c:v>
                </c:pt>
                <c:pt idx="8">
                  <c:v>38055.592257862911</c:v>
                </c:pt>
                <c:pt idx="9">
                  <c:v>37783.225089440552</c:v>
                </c:pt>
                <c:pt idx="10">
                  <c:v>37515.895645165314</c:v>
                </c:pt>
                <c:pt idx="11">
                  <c:v>37253.603925037183</c:v>
                </c:pt>
                <c:pt idx="12">
                  <c:v>36996.349929056174</c:v>
                </c:pt>
                <c:pt idx="13">
                  <c:v>36744.133657222272</c:v>
                </c:pt>
                <c:pt idx="14">
                  <c:v>36496.955109535484</c:v>
                </c:pt>
                <c:pt idx="15">
                  <c:v>36254.814285995817</c:v>
                </c:pt>
                <c:pt idx="16">
                  <c:v>36017.711186603265</c:v>
                </c:pt>
                <c:pt idx="17">
                  <c:v>35785.645811357826</c:v>
                </c:pt>
                <c:pt idx="18">
                  <c:v>35558.618160259495</c:v>
                </c:pt>
                <c:pt idx="19">
                  <c:v>35336.628233308285</c:v>
                </c:pt>
                <c:pt idx="20">
                  <c:v>35119.67603050419</c:v>
                </c:pt>
                <c:pt idx="21">
                  <c:v>34907.761551847208</c:v>
                </c:pt>
                <c:pt idx="22">
                  <c:v>34700.884797337341</c:v>
                </c:pt>
                <c:pt idx="23">
                  <c:v>34499.045766974588</c:v>
                </c:pt>
                <c:pt idx="24">
                  <c:v>34302.24446075895</c:v>
                </c:pt>
                <c:pt idx="25">
                  <c:v>34110.480878690425</c:v>
                </c:pt>
                <c:pt idx="26">
                  <c:v>33923.755020769015</c:v>
                </c:pt>
                <c:pt idx="27">
                  <c:v>33742.066886994719</c:v>
                </c:pt>
                <c:pt idx="28">
                  <c:v>33565.416477367537</c:v>
                </c:pt>
              </c:numCache>
            </c:numRef>
          </c:yVal>
          <c:smooth val="1"/>
        </c:ser>
        <c:ser>
          <c:idx val="8"/>
          <c:order val="5"/>
          <c:tx>
            <c:v>Drag 20000ft Compr</c:v>
          </c:tx>
          <c:spPr>
            <a:ln>
              <a:prstDash val="sysDash"/>
            </a:ln>
          </c:spPr>
          <c:marker>
            <c:symbol val="none"/>
          </c:marker>
          <c:xVal>
            <c:numRef>
              <c:f>'h=20000'!$L$2:$L$30</c:f>
              <c:numCache>
                <c:formatCode>0.000</c:formatCode>
                <c:ptCount val="29"/>
                <c:pt idx="0">
                  <c:v>0.36579162628647188</c:v>
                </c:pt>
                <c:pt idx="1">
                  <c:v>0.38477620164759685</c:v>
                </c:pt>
                <c:pt idx="2">
                  <c:v>0.40376077700872182</c:v>
                </c:pt>
                <c:pt idx="3">
                  <c:v>0.42274535236984667</c:v>
                </c:pt>
                <c:pt idx="4">
                  <c:v>0.44172992773097164</c:v>
                </c:pt>
                <c:pt idx="5">
                  <c:v>0.46071450309209655</c:v>
                </c:pt>
                <c:pt idx="6">
                  <c:v>0.47969907845322152</c:v>
                </c:pt>
                <c:pt idx="7">
                  <c:v>0.49868365381434648</c:v>
                </c:pt>
                <c:pt idx="8">
                  <c:v>0.51766822917547139</c:v>
                </c:pt>
                <c:pt idx="9">
                  <c:v>0.53665280453659636</c:v>
                </c:pt>
                <c:pt idx="10">
                  <c:v>0.55563737989772133</c:v>
                </c:pt>
                <c:pt idx="11">
                  <c:v>0.57462195525884618</c:v>
                </c:pt>
                <c:pt idx="12">
                  <c:v>0.59360653061997115</c:v>
                </c:pt>
                <c:pt idx="13">
                  <c:v>0.61259110598109612</c:v>
                </c:pt>
                <c:pt idx="14">
                  <c:v>0.63157568134222108</c:v>
                </c:pt>
                <c:pt idx="15">
                  <c:v>0.65056025670334594</c:v>
                </c:pt>
                <c:pt idx="16">
                  <c:v>0.66954483206447091</c:v>
                </c:pt>
                <c:pt idx="17">
                  <c:v>0.68852940742559587</c:v>
                </c:pt>
                <c:pt idx="18">
                  <c:v>0.70751398278672084</c:v>
                </c:pt>
                <c:pt idx="19">
                  <c:v>0.72649855814784581</c:v>
                </c:pt>
                <c:pt idx="20">
                  <c:v>0.74548313350897066</c:v>
                </c:pt>
                <c:pt idx="21">
                  <c:v>0.76446770887009563</c:v>
                </c:pt>
                <c:pt idx="22">
                  <c:v>0.7834522842312206</c:v>
                </c:pt>
                <c:pt idx="23">
                  <c:v>0.80243685959234556</c:v>
                </c:pt>
                <c:pt idx="24">
                  <c:v>0.82142143495347053</c:v>
                </c:pt>
                <c:pt idx="25">
                  <c:v>0.84040601031459539</c:v>
                </c:pt>
                <c:pt idx="26">
                  <c:v>0.85939058567572035</c:v>
                </c:pt>
                <c:pt idx="27">
                  <c:v>0.87837516103684532</c:v>
                </c:pt>
                <c:pt idx="28">
                  <c:v>0.89735973639797029</c:v>
                </c:pt>
              </c:numCache>
            </c:numRef>
          </c:xVal>
          <c:yVal>
            <c:numRef>
              <c:f>'h=20000'!$U$2:$U$30</c:f>
              <c:numCache>
                <c:formatCode>General</c:formatCode>
                <c:ptCount val="29"/>
                <c:pt idx="0">
                  <c:v>31782.100700019859</c:v>
                </c:pt>
                <c:pt idx="1">
                  <c:v>29599.085789804467</c:v>
                </c:pt>
                <c:pt idx="2">
                  <c:v>27803.330728819234</c:v>
                </c:pt>
                <c:pt idx="3">
                  <c:v>26330.944320230141</c:v>
                </c:pt>
                <c:pt idx="4">
                  <c:v>25131.462730553547</c:v>
                </c:pt>
                <c:pt idx="5">
                  <c:v>24164.600246493985</c:v>
                </c:pt>
                <c:pt idx="6">
                  <c:v>23397.881679277769</c:v>
                </c:pt>
                <c:pt idx="7">
                  <c:v>22804.893248260185</c:v>
                </c:pt>
                <c:pt idx="8">
                  <c:v>22363.973961692162</c:v>
                </c:pt>
                <c:pt idx="9">
                  <c:v>22057.225127160851</c:v>
                </c:pt>
                <c:pt idx="10">
                  <c:v>21869.752579499898</c:v>
                </c:pt>
                <c:pt idx="11">
                  <c:v>21789.081172241105</c:v>
                </c:pt>
                <c:pt idx="12">
                  <c:v>21804.698189030969</c:v>
                </c:pt>
                <c:pt idx="13">
                  <c:v>21907.694225394767</c:v>
                </c:pt>
                <c:pt idx="14">
                  <c:v>22090.478466262088</c:v>
                </c:pt>
                <c:pt idx="15">
                  <c:v>22346.551253001231</c:v>
                </c:pt>
                <c:pt idx="16">
                  <c:v>22670.321134810099</c:v>
                </c:pt>
                <c:pt idx="17">
                  <c:v>23056.956731534941</c:v>
                </c:pt>
                <c:pt idx="18">
                  <c:v>23502.266038493271</c:v>
                </c:pt>
                <c:pt idx="19">
                  <c:v>24002.597513620502</c:v>
                </c:pt>
                <c:pt idx="20">
                  <c:v>24554.758567358949</c:v>
                </c:pt>
                <c:pt idx="21">
                  <c:v>25155.948042007196</c:v>
                </c:pt>
                <c:pt idx="22">
                  <c:v>25803.700002336052</c:v>
                </c:pt>
                <c:pt idx="23">
                  <c:v>26495.836722584812</c:v>
                </c:pt>
                <c:pt idx="24">
                  <c:v>27230.429189624792</c:v>
                </c:pt>
                <c:pt idx="25">
                  <c:v>31593.190964596375</c:v>
                </c:pt>
                <c:pt idx="26">
                  <c:v>38922.406828962587</c:v>
                </c:pt>
                <c:pt idx="27">
                  <c:v>46251.622693328798</c:v>
                </c:pt>
                <c:pt idx="28">
                  <c:v>53580.838557695017</c:v>
                </c:pt>
              </c:numCache>
            </c:numRef>
          </c:yVal>
          <c:smooth val="1"/>
        </c:ser>
        <c:ser>
          <c:idx val="9"/>
          <c:order val="6"/>
          <c:tx>
            <c:v>Td 20000 approx</c:v>
          </c:tx>
          <c:spPr>
            <a:ln>
              <a:solidFill>
                <a:srgbClr val="92D050"/>
              </a:solidFill>
              <a:prstDash val="dash"/>
            </a:ln>
          </c:spPr>
          <c:marker>
            <c:symbol val="none"/>
          </c:marker>
          <c:xVal>
            <c:numRef>
              <c:f>GRAFICO!$M$3:$M$4</c:f>
              <c:numCache>
                <c:formatCode>General</c:formatCode>
                <c:ptCount val="2"/>
                <c:pt idx="0">
                  <c:v>0.1</c:v>
                </c:pt>
                <c:pt idx="1">
                  <c:v>1</c:v>
                </c:pt>
              </c:numCache>
            </c:numRef>
          </c:xVal>
          <c:yVal>
            <c:numRef>
              <c:f>GRAFICO!$O$3:$O$4</c:f>
              <c:numCache>
                <c:formatCode>General</c:formatCode>
                <c:ptCount val="2"/>
                <c:pt idx="0">
                  <c:v>44313.441310872491</c:v>
                </c:pt>
                <c:pt idx="1">
                  <c:v>44313.441310872491</c:v>
                </c:pt>
              </c:numCache>
            </c:numRef>
          </c:yVal>
          <c:smooth val="1"/>
        </c:ser>
        <c:ser>
          <c:idx val="10"/>
          <c:order val="7"/>
          <c:tx>
            <c:v>Drag 30000ft</c:v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xVal>
            <c:numRef>
              <c:f>'h=30000'!$L$2:$L$30</c:f>
              <c:numCache>
                <c:formatCode>0.000</c:formatCode>
                <c:ptCount val="29"/>
                <c:pt idx="0">
                  <c:v>0.45508287394947511</c:v>
                </c:pt>
                <c:pt idx="1">
                  <c:v>0.47487229040520579</c:v>
                </c:pt>
                <c:pt idx="2">
                  <c:v>0.49466170686093641</c:v>
                </c:pt>
                <c:pt idx="3">
                  <c:v>0.51445112331666709</c:v>
                </c:pt>
                <c:pt idx="4">
                  <c:v>0.53424053977239772</c:v>
                </c:pt>
                <c:pt idx="5">
                  <c:v>0.55402995622812834</c:v>
                </c:pt>
                <c:pt idx="6">
                  <c:v>0.57381937268385907</c:v>
                </c:pt>
                <c:pt idx="7">
                  <c:v>0.5936087891395897</c:v>
                </c:pt>
                <c:pt idx="8">
                  <c:v>0.61339820559532032</c:v>
                </c:pt>
                <c:pt idx="9">
                  <c:v>0.63318762205105095</c:v>
                </c:pt>
                <c:pt idx="10">
                  <c:v>0.65297703850678168</c:v>
                </c:pt>
                <c:pt idx="11">
                  <c:v>0.67276645496251231</c:v>
                </c:pt>
                <c:pt idx="12">
                  <c:v>0.69255587141824293</c:v>
                </c:pt>
                <c:pt idx="13">
                  <c:v>0.71234528787397366</c:v>
                </c:pt>
                <c:pt idx="14">
                  <c:v>0.73213470432970429</c:v>
                </c:pt>
                <c:pt idx="15">
                  <c:v>0.75192412078543491</c:v>
                </c:pt>
                <c:pt idx="16">
                  <c:v>0.77171353724116554</c:v>
                </c:pt>
                <c:pt idx="17">
                  <c:v>0.79150295369689627</c:v>
                </c:pt>
                <c:pt idx="18">
                  <c:v>0.8112923701526269</c:v>
                </c:pt>
                <c:pt idx="19">
                  <c:v>0.83108178660835752</c:v>
                </c:pt>
                <c:pt idx="20">
                  <c:v>0.85087120306408814</c:v>
                </c:pt>
                <c:pt idx="21">
                  <c:v>0.87066061951981877</c:v>
                </c:pt>
                <c:pt idx="22">
                  <c:v>0.89045003597554939</c:v>
                </c:pt>
                <c:pt idx="23">
                  <c:v>0.91023945243128002</c:v>
                </c:pt>
                <c:pt idx="24">
                  <c:v>0.93002886888701075</c:v>
                </c:pt>
                <c:pt idx="25">
                  <c:v>0.94981828534274138</c:v>
                </c:pt>
                <c:pt idx="26">
                  <c:v>0.969607701798472</c:v>
                </c:pt>
                <c:pt idx="27">
                  <c:v>0.98939711825420262</c:v>
                </c:pt>
                <c:pt idx="28">
                  <c:v>1.0091865347099334</c:v>
                </c:pt>
              </c:numCache>
            </c:numRef>
          </c:xVal>
          <c:yVal>
            <c:numRef>
              <c:f>'h=30000'!$I$2:$I$30</c:f>
              <c:numCache>
                <c:formatCode>0.0</c:formatCode>
                <c:ptCount val="29"/>
                <c:pt idx="0">
                  <c:v>31782.10070001987</c:v>
                </c:pt>
                <c:pt idx="1">
                  <c:v>29924.811181085588</c:v>
                </c:pt>
                <c:pt idx="2">
                  <c:v>28347.421732245868</c:v>
                </c:pt>
                <c:pt idx="3">
                  <c:v>27010.169366658265</c:v>
                </c:pt>
                <c:pt idx="4">
                  <c:v>25880.516442609525</c:v>
                </c:pt>
                <c:pt idx="5">
                  <c:v>24931.63056390575</c:v>
                </c:pt>
                <c:pt idx="6">
                  <c:v>24141.224912639769</c:v>
                </c:pt>
                <c:pt idx="7">
                  <c:v>23490.664551332837</c:v>
                </c:pt>
                <c:pt idx="8">
                  <c:v>22964.271197451828</c:v>
                </c:pt>
                <c:pt idx="9">
                  <c:v>22548.777649701133</c:v>
                </c:pt>
                <c:pt idx="10">
                  <c:v>22232.896151614797</c:v>
                </c:pt>
                <c:pt idx="11">
                  <c:v>22006.974288258731</c:v>
                </c:pt>
                <c:pt idx="12">
                  <c:v>21862.718701480906</c:v>
                </c:pt>
                <c:pt idx="13">
                  <c:v>21792.971767284293</c:v>
                </c:pt>
                <c:pt idx="14">
                  <c:v>21791.52994238161</c:v>
                </c:pt>
                <c:pt idx="15">
                  <c:v>21852.995125467281</c:v>
                </c:pt>
                <c:pt idx="16">
                  <c:v>21972.652349637923</c:v>
                </c:pt>
                <c:pt idx="17">
                  <c:v>22146.368606914755</c:v>
                </c:pt>
                <c:pt idx="18">
                  <c:v>22370.508732812425</c:v>
                </c:pt>
                <c:pt idx="19">
                  <c:v>22641.865140845803</c:v>
                </c:pt>
                <c:pt idx="20">
                  <c:v>22957.59886075589</c:v>
                </c:pt>
                <c:pt idx="21">
                  <c:v>23315.189849003174</c:v>
                </c:pt>
                <c:pt idx="22">
                  <c:v>23712.394941755127</c:v>
                </c:pt>
                <c:pt idx="23">
                  <c:v>24147.212135924878</c:v>
                </c:pt>
                <c:pt idx="24">
                  <c:v>24617.850132787982</c:v>
                </c:pt>
                <c:pt idx="25">
                  <c:v>25122.702276358876</c:v>
                </c:pt>
                <c:pt idx="26">
                  <c:v>25660.324176446175</c:v>
                </c:pt>
                <c:pt idx="27">
                  <c:v>26229.414432819194</c:v>
                </c:pt>
                <c:pt idx="28">
                  <c:v>26828.797978872619</c:v>
                </c:pt>
              </c:numCache>
            </c:numRef>
          </c:yVal>
          <c:smooth val="1"/>
        </c:ser>
        <c:ser>
          <c:idx val="11"/>
          <c:order val="8"/>
          <c:tx>
            <c:v>Td 30000ft</c:v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xVal>
            <c:numRef>
              <c:f>'h=30000'!$L$2:$L$30</c:f>
              <c:numCache>
                <c:formatCode>0.000</c:formatCode>
                <c:ptCount val="29"/>
                <c:pt idx="0">
                  <c:v>0.45508287394947511</c:v>
                </c:pt>
                <c:pt idx="1">
                  <c:v>0.47487229040520579</c:v>
                </c:pt>
                <c:pt idx="2">
                  <c:v>0.49466170686093641</c:v>
                </c:pt>
                <c:pt idx="3">
                  <c:v>0.51445112331666709</c:v>
                </c:pt>
                <c:pt idx="4">
                  <c:v>0.53424053977239772</c:v>
                </c:pt>
                <c:pt idx="5">
                  <c:v>0.55402995622812834</c:v>
                </c:pt>
                <c:pt idx="6">
                  <c:v>0.57381937268385907</c:v>
                </c:pt>
                <c:pt idx="7">
                  <c:v>0.5936087891395897</c:v>
                </c:pt>
                <c:pt idx="8">
                  <c:v>0.61339820559532032</c:v>
                </c:pt>
                <c:pt idx="9">
                  <c:v>0.63318762205105095</c:v>
                </c:pt>
                <c:pt idx="10">
                  <c:v>0.65297703850678168</c:v>
                </c:pt>
                <c:pt idx="11">
                  <c:v>0.67276645496251231</c:v>
                </c:pt>
                <c:pt idx="12">
                  <c:v>0.69255587141824293</c:v>
                </c:pt>
                <c:pt idx="13">
                  <c:v>0.71234528787397366</c:v>
                </c:pt>
                <c:pt idx="14">
                  <c:v>0.73213470432970429</c:v>
                </c:pt>
                <c:pt idx="15">
                  <c:v>0.75192412078543491</c:v>
                </c:pt>
                <c:pt idx="16">
                  <c:v>0.77171353724116554</c:v>
                </c:pt>
                <c:pt idx="17">
                  <c:v>0.79150295369689627</c:v>
                </c:pt>
                <c:pt idx="18">
                  <c:v>0.8112923701526269</c:v>
                </c:pt>
                <c:pt idx="19">
                  <c:v>0.83108178660835752</c:v>
                </c:pt>
                <c:pt idx="20">
                  <c:v>0.85087120306408814</c:v>
                </c:pt>
                <c:pt idx="21">
                  <c:v>0.87066061951981877</c:v>
                </c:pt>
                <c:pt idx="22">
                  <c:v>0.89045003597554939</c:v>
                </c:pt>
                <c:pt idx="23">
                  <c:v>0.91023945243128002</c:v>
                </c:pt>
                <c:pt idx="24">
                  <c:v>0.93002886888701075</c:v>
                </c:pt>
                <c:pt idx="25">
                  <c:v>0.94981828534274138</c:v>
                </c:pt>
                <c:pt idx="26">
                  <c:v>0.969607701798472</c:v>
                </c:pt>
                <c:pt idx="27">
                  <c:v>0.98939711825420262</c:v>
                </c:pt>
                <c:pt idx="28">
                  <c:v>1.0091865347099334</c:v>
                </c:pt>
              </c:numCache>
            </c:numRef>
          </c:xVal>
          <c:yVal>
            <c:numRef>
              <c:f>'h=30000'!$M$2:$M$30</c:f>
              <c:numCache>
                <c:formatCode>General</c:formatCode>
                <c:ptCount val="29"/>
                <c:pt idx="0">
                  <c:v>31109.011658767777</c:v>
                </c:pt>
                <c:pt idx="1">
                  <c:v>31109.011658767777</c:v>
                </c:pt>
                <c:pt idx="2">
                  <c:v>31109.011658767777</c:v>
                </c:pt>
                <c:pt idx="3">
                  <c:v>31109.011658767777</c:v>
                </c:pt>
                <c:pt idx="4">
                  <c:v>31109.011658767777</c:v>
                </c:pt>
                <c:pt idx="5">
                  <c:v>31109.011658767777</c:v>
                </c:pt>
                <c:pt idx="6">
                  <c:v>31109.011658767777</c:v>
                </c:pt>
                <c:pt idx="7">
                  <c:v>31109.011658767777</c:v>
                </c:pt>
                <c:pt idx="8">
                  <c:v>31109.011658767777</c:v>
                </c:pt>
                <c:pt idx="9">
                  <c:v>31109.011658767777</c:v>
                </c:pt>
                <c:pt idx="10">
                  <c:v>31109.011658767777</c:v>
                </c:pt>
                <c:pt idx="11">
                  <c:v>31109.011658767777</c:v>
                </c:pt>
                <c:pt idx="12">
                  <c:v>31109.011658767777</c:v>
                </c:pt>
                <c:pt idx="13">
                  <c:v>31109.011658767777</c:v>
                </c:pt>
                <c:pt idx="14">
                  <c:v>31109.011658767777</c:v>
                </c:pt>
                <c:pt idx="15">
                  <c:v>31109.011658767777</c:v>
                </c:pt>
                <c:pt idx="16">
                  <c:v>31109.011658767777</c:v>
                </c:pt>
                <c:pt idx="17">
                  <c:v>31109.011658767777</c:v>
                </c:pt>
                <c:pt idx="18">
                  <c:v>31109.011658767777</c:v>
                </c:pt>
                <c:pt idx="19">
                  <c:v>31109.011658767777</c:v>
                </c:pt>
                <c:pt idx="20">
                  <c:v>31109.011658767777</c:v>
                </c:pt>
                <c:pt idx="21">
                  <c:v>31109.011658767777</c:v>
                </c:pt>
                <c:pt idx="22">
                  <c:v>31109.011658767777</c:v>
                </c:pt>
                <c:pt idx="23">
                  <c:v>31109.011658767777</c:v>
                </c:pt>
                <c:pt idx="24">
                  <c:v>31109.011658767777</c:v>
                </c:pt>
                <c:pt idx="25">
                  <c:v>31109.011658767777</c:v>
                </c:pt>
                <c:pt idx="26">
                  <c:v>31109.011658767777</c:v>
                </c:pt>
                <c:pt idx="27">
                  <c:v>31109.011658767777</c:v>
                </c:pt>
                <c:pt idx="28">
                  <c:v>31109.011658767777</c:v>
                </c:pt>
              </c:numCache>
            </c:numRef>
          </c:yVal>
          <c:smooth val="1"/>
        </c:ser>
        <c:ser>
          <c:idx val="12"/>
          <c:order val="9"/>
          <c:tx>
            <c:v>Drag 30000ft Comp</c:v>
          </c:tx>
          <c:spPr>
            <a:ln>
              <a:solidFill>
                <a:srgbClr val="002060"/>
              </a:solidFill>
              <a:prstDash val="sysDash"/>
            </a:ln>
          </c:spPr>
          <c:marker>
            <c:symbol val="none"/>
          </c:marker>
          <c:xVal>
            <c:numRef>
              <c:f>'h=30000'!$L$2:$L$27</c:f>
              <c:numCache>
                <c:formatCode>0.000</c:formatCode>
                <c:ptCount val="26"/>
                <c:pt idx="0">
                  <c:v>0.45508287394947511</c:v>
                </c:pt>
                <c:pt idx="1">
                  <c:v>0.47487229040520579</c:v>
                </c:pt>
                <c:pt idx="2">
                  <c:v>0.49466170686093641</c:v>
                </c:pt>
                <c:pt idx="3">
                  <c:v>0.51445112331666709</c:v>
                </c:pt>
                <c:pt idx="4">
                  <c:v>0.53424053977239772</c:v>
                </c:pt>
                <c:pt idx="5">
                  <c:v>0.55402995622812834</c:v>
                </c:pt>
                <c:pt idx="6">
                  <c:v>0.57381937268385907</c:v>
                </c:pt>
                <c:pt idx="7">
                  <c:v>0.5936087891395897</c:v>
                </c:pt>
                <c:pt idx="8">
                  <c:v>0.61339820559532032</c:v>
                </c:pt>
                <c:pt idx="9">
                  <c:v>0.63318762205105095</c:v>
                </c:pt>
                <c:pt idx="10">
                  <c:v>0.65297703850678168</c:v>
                </c:pt>
                <c:pt idx="11">
                  <c:v>0.67276645496251231</c:v>
                </c:pt>
                <c:pt idx="12">
                  <c:v>0.69255587141824293</c:v>
                </c:pt>
                <c:pt idx="13">
                  <c:v>0.71234528787397366</c:v>
                </c:pt>
                <c:pt idx="14">
                  <c:v>0.73213470432970429</c:v>
                </c:pt>
                <c:pt idx="15">
                  <c:v>0.75192412078543491</c:v>
                </c:pt>
                <c:pt idx="16">
                  <c:v>0.77171353724116554</c:v>
                </c:pt>
                <c:pt idx="17">
                  <c:v>0.79150295369689627</c:v>
                </c:pt>
                <c:pt idx="18">
                  <c:v>0.8112923701526269</c:v>
                </c:pt>
                <c:pt idx="19">
                  <c:v>0.83108178660835752</c:v>
                </c:pt>
                <c:pt idx="20">
                  <c:v>0.85087120306408814</c:v>
                </c:pt>
                <c:pt idx="21">
                  <c:v>0.87066061951981877</c:v>
                </c:pt>
                <c:pt idx="22">
                  <c:v>0.89045003597554939</c:v>
                </c:pt>
                <c:pt idx="23">
                  <c:v>0.91023945243128002</c:v>
                </c:pt>
                <c:pt idx="24">
                  <c:v>0.93002886888701075</c:v>
                </c:pt>
                <c:pt idx="25">
                  <c:v>0.94981828534274138</c:v>
                </c:pt>
              </c:numCache>
            </c:numRef>
          </c:xVal>
          <c:yVal>
            <c:numRef>
              <c:f>'h=30000'!$U$2:$U$27</c:f>
              <c:numCache>
                <c:formatCode>General</c:formatCode>
                <c:ptCount val="26"/>
                <c:pt idx="0">
                  <c:v>31782.10070001987</c:v>
                </c:pt>
                <c:pt idx="1">
                  <c:v>29924.811181085588</c:v>
                </c:pt>
                <c:pt idx="2">
                  <c:v>28347.421732245868</c:v>
                </c:pt>
                <c:pt idx="3">
                  <c:v>27010.169366658265</c:v>
                </c:pt>
                <c:pt idx="4">
                  <c:v>25880.516442609525</c:v>
                </c:pt>
                <c:pt idx="5">
                  <c:v>24931.63056390575</c:v>
                </c:pt>
                <c:pt idx="6">
                  <c:v>24141.224912639769</c:v>
                </c:pt>
                <c:pt idx="7">
                  <c:v>23490.664551332837</c:v>
                </c:pt>
                <c:pt idx="8">
                  <c:v>22964.271197451828</c:v>
                </c:pt>
                <c:pt idx="9">
                  <c:v>22548.777649701133</c:v>
                </c:pt>
                <c:pt idx="10">
                  <c:v>22232.896151614797</c:v>
                </c:pt>
                <c:pt idx="11">
                  <c:v>22006.974288258731</c:v>
                </c:pt>
                <c:pt idx="12">
                  <c:v>21862.718701480906</c:v>
                </c:pt>
                <c:pt idx="13">
                  <c:v>21792.971767284293</c:v>
                </c:pt>
                <c:pt idx="14">
                  <c:v>21791.52994238161</c:v>
                </c:pt>
                <c:pt idx="15">
                  <c:v>21852.995125467281</c:v>
                </c:pt>
                <c:pt idx="16">
                  <c:v>21972.652349637923</c:v>
                </c:pt>
                <c:pt idx="17">
                  <c:v>22146.368606914755</c:v>
                </c:pt>
                <c:pt idx="18">
                  <c:v>22370.508732812425</c:v>
                </c:pt>
                <c:pt idx="19">
                  <c:v>22968.529477263186</c:v>
                </c:pt>
                <c:pt idx="20">
                  <c:v>29237.065552754571</c:v>
                </c:pt>
                <c:pt idx="21">
                  <c:v>35505.60162824596</c:v>
                </c:pt>
                <c:pt idx="22">
                  <c:v>41774.137703737346</c:v>
                </c:pt>
                <c:pt idx="23">
                  <c:v>48042.673779228731</c:v>
                </c:pt>
                <c:pt idx="24">
                  <c:v>54311.209854720146</c:v>
                </c:pt>
                <c:pt idx="25">
                  <c:v>60579.745930211531</c:v>
                </c:pt>
              </c:numCache>
            </c:numRef>
          </c:yVal>
          <c:smooth val="1"/>
        </c:ser>
        <c:ser>
          <c:idx val="0"/>
          <c:order val="10"/>
          <c:tx>
            <c:v>Drag h=35000 ft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'h=35000'!$L$2:$L$30</c:f>
              <c:numCache>
                <c:formatCode>0.000</c:formatCode>
                <c:ptCount val="29"/>
                <c:pt idx="0">
                  <c:v>0.51126844676915473</c:v>
                </c:pt>
                <c:pt idx="1">
                  <c:v>0.5315006668042056</c:v>
                </c:pt>
                <c:pt idx="2">
                  <c:v>0.55173288683925648</c:v>
                </c:pt>
                <c:pt idx="3">
                  <c:v>0.57196510687430735</c:v>
                </c:pt>
                <c:pt idx="4">
                  <c:v>0.59219732690935822</c:v>
                </c:pt>
                <c:pt idx="5">
                  <c:v>0.6124295469444091</c:v>
                </c:pt>
                <c:pt idx="6">
                  <c:v>0.63266176697945997</c:v>
                </c:pt>
                <c:pt idx="7">
                  <c:v>0.65289398701451085</c:v>
                </c:pt>
                <c:pt idx="8">
                  <c:v>0.67312620704956172</c:v>
                </c:pt>
                <c:pt idx="9">
                  <c:v>0.69335842708461259</c:v>
                </c:pt>
                <c:pt idx="10">
                  <c:v>0.71359064711966358</c:v>
                </c:pt>
                <c:pt idx="11">
                  <c:v>0.73382286715471445</c:v>
                </c:pt>
                <c:pt idx="12">
                  <c:v>0.75405508718976533</c:v>
                </c:pt>
                <c:pt idx="13">
                  <c:v>0.7742873072248162</c:v>
                </c:pt>
                <c:pt idx="14">
                  <c:v>0.79451952725986708</c:v>
                </c:pt>
                <c:pt idx="15">
                  <c:v>0.81475174729491795</c:v>
                </c:pt>
                <c:pt idx="16">
                  <c:v>0.83498396732996882</c:v>
                </c:pt>
                <c:pt idx="17">
                  <c:v>0.8552161873650197</c:v>
                </c:pt>
                <c:pt idx="18">
                  <c:v>0.87544840740007068</c:v>
                </c:pt>
                <c:pt idx="19">
                  <c:v>0.89568062743512156</c:v>
                </c:pt>
                <c:pt idx="20">
                  <c:v>0.91591284747017243</c:v>
                </c:pt>
                <c:pt idx="21">
                  <c:v>0.93614506750522331</c:v>
                </c:pt>
                <c:pt idx="22">
                  <c:v>0.95637728754027418</c:v>
                </c:pt>
                <c:pt idx="23">
                  <c:v>0.97660950757532505</c:v>
                </c:pt>
                <c:pt idx="24">
                  <c:v>0.99684172761037593</c:v>
                </c:pt>
                <c:pt idx="25">
                  <c:v>1.0170739476454269</c:v>
                </c:pt>
                <c:pt idx="26">
                  <c:v>1.0373061676804778</c:v>
                </c:pt>
                <c:pt idx="27">
                  <c:v>1.0575383877155287</c:v>
                </c:pt>
                <c:pt idx="28">
                  <c:v>1.0777706077505795</c:v>
                </c:pt>
              </c:numCache>
            </c:numRef>
          </c:xVal>
          <c:yVal>
            <c:numRef>
              <c:f>'h=35000'!$I$2:$I$30</c:f>
              <c:numCache>
                <c:formatCode>0.0</c:formatCode>
                <c:ptCount val="29"/>
                <c:pt idx="0">
                  <c:v>31782.10070001987</c:v>
                </c:pt>
                <c:pt idx="1">
                  <c:v>30079.810009909765</c:v>
                </c:pt>
                <c:pt idx="2">
                  <c:v>28612.514181559138</c:v>
                </c:pt>
                <c:pt idx="3">
                  <c:v>27349.438834897632</c:v>
                </c:pt>
                <c:pt idx="4">
                  <c:v>26264.975090300508</c:v>
                </c:pt>
                <c:pt idx="5">
                  <c:v>25337.673010642651</c:v>
                </c:pt>
                <c:pt idx="6">
                  <c:v>24549.456656731771</c:v>
                </c:pt>
                <c:pt idx="7">
                  <c:v>23885.006697827437</c:v>
                </c:pt>
                <c:pt idx="8">
                  <c:v>23331.270913745844</c:v>
                </c:pt>
                <c:pt idx="9">
                  <c:v>22877.073183530098</c:v>
                </c:pt>
                <c:pt idx="10">
                  <c:v>22512.798948649805</c:v>
                </c:pt>
                <c:pt idx="11">
                  <c:v>22230.140522662408</c:v>
                </c:pt>
                <c:pt idx="12">
                  <c:v>22021.889578837821</c:v>
                </c:pt>
                <c:pt idx="13">
                  <c:v>21881.76708623828</c:v>
                </c:pt>
                <c:pt idx="14">
                  <c:v>21804.283165232024</c:v>
                </c:pt>
                <c:pt idx="15">
                  <c:v>21784.620994514269</c:v>
                </c:pt>
                <c:pt idx="16">
                  <c:v>21818.540165366674</c:v>
                </c:pt>
                <c:pt idx="17">
                  <c:v>21902.295847257537</c:v>
                </c:pt>
                <c:pt idx="18">
                  <c:v>22032.570876135869</c:v>
                </c:pt>
                <c:pt idx="19">
                  <c:v>22206.418457200467</c:v>
                </c:pt>
                <c:pt idx="20">
                  <c:v>22421.213627601639</c:v>
                </c:pt>
                <c:pt idx="21">
                  <c:v>22674.611981253944</c:v>
                </c:pt>
                <c:pt idx="22">
                  <c:v>22964.514440017894</c:v>
                </c:pt>
                <c:pt idx="23">
                  <c:v>23289.037079774305</c:v>
                </c:pt>
                <c:pt idx="24">
                  <c:v>23646.485199139104</c:v>
                </c:pt>
                <c:pt idx="25">
                  <c:v>24035.330962502994</c:v>
                </c:pt>
                <c:pt idx="26">
                  <c:v>24454.194065224747</c:v>
                </c:pt>
                <c:pt idx="27">
                  <c:v>24901.824962949526</c:v>
                </c:pt>
                <c:pt idx="28">
                  <c:v>25377.090283664089</c:v>
                </c:pt>
              </c:numCache>
            </c:numRef>
          </c:yVal>
          <c:smooth val="1"/>
        </c:ser>
        <c:ser>
          <c:idx val="1"/>
          <c:order val="11"/>
          <c:tx>
            <c:v>Drag 35000 Compr</c:v>
          </c:tx>
          <c:spPr>
            <a:ln>
              <a:prstDash val="sysDash"/>
            </a:ln>
          </c:spPr>
          <c:marker>
            <c:symbol val="none"/>
          </c:marker>
          <c:xVal>
            <c:numRef>
              <c:f>'h=35000'!$L$2:$L$30</c:f>
              <c:numCache>
                <c:formatCode>0.000</c:formatCode>
                <c:ptCount val="29"/>
                <c:pt idx="0">
                  <c:v>0.51126844676915473</c:v>
                </c:pt>
                <c:pt idx="1">
                  <c:v>0.5315006668042056</c:v>
                </c:pt>
                <c:pt idx="2">
                  <c:v>0.55173288683925648</c:v>
                </c:pt>
                <c:pt idx="3">
                  <c:v>0.57196510687430735</c:v>
                </c:pt>
                <c:pt idx="4">
                  <c:v>0.59219732690935822</c:v>
                </c:pt>
                <c:pt idx="5">
                  <c:v>0.6124295469444091</c:v>
                </c:pt>
                <c:pt idx="6">
                  <c:v>0.63266176697945997</c:v>
                </c:pt>
                <c:pt idx="7">
                  <c:v>0.65289398701451085</c:v>
                </c:pt>
                <c:pt idx="8">
                  <c:v>0.67312620704956172</c:v>
                </c:pt>
                <c:pt idx="9">
                  <c:v>0.69335842708461259</c:v>
                </c:pt>
                <c:pt idx="10">
                  <c:v>0.71359064711966358</c:v>
                </c:pt>
                <c:pt idx="11">
                  <c:v>0.73382286715471445</c:v>
                </c:pt>
                <c:pt idx="12">
                  <c:v>0.75405508718976533</c:v>
                </c:pt>
                <c:pt idx="13">
                  <c:v>0.7742873072248162</c:v>
                </c:pt>
                <c:pt idx="14">
                  <c:v>0.79451952725986708</c:v>
                </c:pt>
                <c:pt idx="15">
                  <c:v>0.81475174729491795</c:v>
                </c:pt>
                <c:pt idx="16">
                  <c:v>0.83498396732996882</c:v>
                </c:pt>
                <c:pt idx="17">
                  <c:v>0.8552161873650197</c:v>
                </c:pt>
                <c:pt idx="18">
                  <c:v>0.87544840740007068</c:v>
                </c:pt>
                <c:pt idx="19">
                  <c:v>0.89568062743512156</c:v>
                </c:pt>
                <c:pt idx="20">
                  <c:v>0.91591284747017243</c:v>
                </c:pt>
                <c:pt idx="21">
                  <c:v>0.93614506750522331</c:v>
                </c:pt>
                <c:pt idx="22">
                  <c:v>0.95637728754027418</c:v>
                </c:pt>
                <c:pt idx="23">
                  <c:v>0.97660950757532505</c:v>
                </c:pt>
                <c:pt idx="24">
                  <c:v>0.99684172761037593</c:v>
                </c:pt>
                <c:pt idx="25">
                  <c:v>1.0170739476454269</c:v>
                </c:pt>
                <c:pt idx="26">
                  <c:v>1.0373061676804778</c:v>
                </c:pt>
                <c:pt idx="27">
                  <c:v>1.0575383877155287</c:v>
                </c:pt>
                <c:pt idx="28">
                  <c:v>1.0777706077505795</c:v>
                </c:pt>
              </c:numCache>
            </c:numRef>
          </c:xVal>
          <c:yVal>
            <c:numRef>
              <c:f>'h=35000'!$U$2:$U$22</c:f>
              <c:numCache>
                <c:formatCode>General</c:formatCode>
                <c:ptCount val="21"/>
                <c:pt idx="0">
                  <c:v>31782.10070001987</c:v>
                </c:pt>
                <c:pt idx="1">
                  <c:v>30079.810009909765</c:v>
                </c:pt>
                <c:pt idx="2">
                  <c:v>28612.514181559138</c:v>
                </c:pt>
                <c:pt idx="3">
                  <c:v>27349.438834897632</c:v>
                </c:pt>
                <c:pt idx="4">
                  <c:v>26264.975090300508</c:v>
                </c:pt>
                <c:pt idx="5">
                  <c:v>25337.673010642651</c:v>
                </c:pt>
                <c:pt idx="6">
                  <c:v>24549.456656731771</c:v>
                </c:pt>
                <c:pt idx="7">
                  <c:v>23885.006697827437</c:v>
                </c:pt>
                <c:pt idx="8">
                  <c:v>23331.270913745844</c:v>
                </c:pt>
                <c:pt idx="9">
                  <c:v>22877.073183530098</c:v>
                </c:pt>
                <c:pt idx="10">
                  <c:v>22512.798948649805</c:v>
                </c:pt>
                <c:pt idx="11">
                  <c:v>22230.140522662408</c:v>
                </c:pt>
                <c:pt idx="12">
                  <c:v>22021.889578837821</c:v>
                </c:pt>
                <c:pt idx="13">
                  <c:v>21881.76708623828</c:v>
                </c:pt>
                <c:pt idx="14">
                  <c:v>21804.283165232024</c:v>
                </c:pt>
                <c:pt idx="15">
                  <c:v>21784.620994514269</c:v>
                </c:pt>
                <c:pt idx="16">
                  <c:v>23326.906779859062</c:v>
                </c:pt>
                <c:pt idx="17">
                  <c:v>29503.316023354855</c:v>
                </c:pt>
                <c:pt idx="18">
                  <c:v>35679.725266850677</c:v>
                </c:pt>
                <c:pt idx="19">
                  <c:v>41856.13451034647</c:v>
                </c:pt>
                <c:pt idx="20">
                  <c:v>48032.543753842256</c:v>
                </c:pt>
              </c:numCache>
            </c:numRef>
          </c:yVal>
          <c:smooth val="1"/>
        </c:ser>
        <c:ser>
          <c:idx val="2"/>
          <c:order val="12"/>
          <c:tx>
            <c:v>Td 35000ft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'h=35000'!$L$2:$L$30</c:f>
              <c:numCache>
                <c:formatCode>0.000</c:formatCode>
                <c:ptCount val="29"/>
                <c:pt idx="0">
                  <c:v>0.51126844676915473</c:v>
                </c:pt>
                <c:pt idx="1">
                  <c:v>0.5315006668042056</c:v>
                </c:pt>
                <c:pt idx="2">
                  <c:v>0.55173288683925648</c:v>
                </c:pt>
                <c:pt idx="3">
                  <c:v>0.57196510687430735</c:v>
                </c:pt>
                <c:pt idx="4">
                  <c:v>0.59219732690935822</c:v>
                </c:pt>
                <c:pt idx="5">
                  <c:v>0.6124295469444091</c:v>
                </c:pt>
                <c:pt idx="6">
                  <c:v>0.63266176697945997</c:v>
                </c:pt>
                <c:pt idx="7">
                  <c:v>0.65289398701451085</c:v>
                </c:pt>
                <c:pt idx="8">
                  <c:v>0.67312620704956172</c:v>
                </c:pt>
                <c:pt idx="9">
                  <c:v>0.69335842708461259</c:v>
                </c:pt>
                <c:pt idx="10">
                  <c:v>0.71359064711966358</c:v>
                </c:pt>
                <c:pt idx="11">
                  <c:v>0.73382286715471445</c:v>
                </c:pt>
                <c:pt idx="12">
                  <c:v>0.75405508718976533</c:v>
                </c:pt>
                <c:pt idx="13">
                  <c:v>0.7742873072248162</c:v>
                </c:pt>
                <c:pt idx="14">
                  <c:v>0.79451952725986708</c:v>
                </c:pt>
                <c:pt idx="15">
                  <c:v>0.81475174729491795</c:v>
                </c:pt>
                <c:pt idx="16">
                  <c:v>0.83498396732996882</c:v>
                </c:pt>
                <c:pt idx="17">
                  <c:v>0.8552161873650197</c:v>
                </c:pt>
                <c:pt idx="18">
                  <c:v>0.87544840740007068</c:v>
                </c:pt>
                <c:pt idx="19">
                  <c:v>0.89568062743512156</c:v>
                </c:pt>
                <c:pt idx="20">
                  <c:v>0.91591284747017243</c:v>
                </c:pt>
                <c:pt idx="21">
                  <c:v>0.93614506750522331</c:v>
                </c:pt>
                <c:pt idx="22">
                  <c:v>0.95637728754027418</c:v>
                </c:pt>
                <c:pt idx="23">
                  <c:v>0.97660950757532505</c:v>
                </c:pt>
                <c:pt idx="24">
                  <c:v>0.99684172761037593</c:v>
                </c:pt>
                <c:pt idx="25">
                  <c:v>1.0170739476454269</c:v>
                </c:pt>
                <c:pt idx="26">
                  <c:v>1.0373061676804778</c:v>
                </c:pt>
                <c:pt idx="27">
                  <c:v>1.0575383877155287</c:v>
                </c:pt>
                <c:pt idx="28">
                  <c:v>1.0777706077505795</c:v>
                </c:pt>
              </c:numCache>
            </c:numRef>
          </c:xVal>
          <c:yVal>
            <c:numRef>
              <c:f>'h=35000'!$M$2:$M$30</c:f>
              <c:numCache>
                <c:formatCode>General</c:formatCode>
                <c:ptCount val="29"/>
                <c:pt idx="0">
                  <c:v>25762.637290192866</c:v>
                </c:pt>
                <c:pt idx="1">
                  <c:v>25762.637290192866</c:v>
                </c:pt>
                <c:pt idx="2">
                  <c:v>25762.637290192866</c:v>
                </c:pt>
                <c:pt idx="3">
                  <c:v>25762.637290192866</c:v>
                </c:pt>
                <c:pt idx="4">
                  <c:v>25762.637290192866</c:v>
                </c:pt>
                <c:pt idx="5">
                  <c:v>25762.637290192866</c:v>
                </c:pt>
                <c:pt idx="6">
                  <c:v>25762.637290192866</c:v>
                </c:pt>
                <c:pt idx="7">
                  <c:v>25762.637290192866</c:v>
                </c:pt>
                <c:pt idx="8">
                  <c:v>25762.637290192866</c:v>
                </c:pt>
                <c:pt idx="9">
                  <c:v>25762.637290192866</c:v>
                </c:pt>
                <c:pt idx="10">
                  <c:v>25762.637290192866</c:v>
                </c:pt>
                <c:pt idx="11">
                  <c:v>25762.637290192866</c:v>
                </c:pt>
                <c:pt idx="12">
                  <c:v>25762.637290192866</c:v>
                </c:pt>
                <c:pt idx="13">
                  <c:v>25762.637290192866</c:v>
                </c:pt>
                <c:pt idx="14">
                  <c:v>25762.637290192866</c:v>
                </c:pt>
                <c:pt idx="15">
                  <c:v>25762.637290192866</c:v>
                </c:pt>
                <c:pt idx="16">
                  <c:v>25762.637290192866</c:v>
                </c:pt>
                <c:pt idx="17">
                  <c:v>25762.637290192866</c:v>
                </c:pt>
                <c:pt idx="18">
                  <c:v>25762.637290192866</c:v>
                </c:pt>
                <c:pt idx="19">
                  <c:v>25762.637290192866</c:v>
                </c:pt>
                <c:pt idx="20">
                  <c:v>25762.637290192866</c:v>
                </c:pt>
                <c:pt idx="21">
                  <c:v>25762.637290192866</c:v>
                </c:pt>
                <c:pt idx="22">
                  <c:v>25762.637290192866</c:v>
                </c:pt>
                <c:pt idx="23">
                  <c:v>25762.637290192866</c:v>
                </c:pt>
                <c:pt idx="24">
                  <c:v>25762.637290192866</c:v>
                </c:pt>
                <c:pt idx="25">
                  <c:v>25762.637290192866</c:v>
                </c:pt>
                <c:pt idx="26">
                  <c:v>25762.637290192866</c:v>
                </c:pt>
                <c:pt idx="27">
                  <c:v>25762.637290192866</c:v>
                </c:pt>
                <c:pt idx="28">
                  <c:v>25762.637290192866</c:v>
                </c:pt>
              </c:numCache>
            </c:numRef>
          </c:yVal>
          <c:smooth val="1"/>
        </c:ser>
        <c:axId val="72955776"/>
        <c:axId val="73001216"/>
      </c:scatterChart>
      <c:valAx>
        <c:axId val="72955776"/>
        <c:scaling>
          <c:orientation val="minMax"/>
          <c:max val="1.1000000000000001"/>
        </c:scaling>
        <c:axPos val="b"/>
        <c:numFmt formatCode="0.000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73001216"/>
        <c:crosses val="autoZero"/>
        <c:crossBetween val="midCat"/>
      </c:valAx>
      <c:valAx>
        <c:axId val="73001216"/>
        <c:scaling>
          <c:orientation val="minMax"/>
          <c:min val="3000"/>
        </c:scaling>
        <c:axPos val="l"/>
        <c:majorGridlines/>
        <c:numFmt formatCode="0.0" sourceLinked="1"/>
        <c:tickLblPos val="nextTo"/>
        <c:crossAx val="729557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5987410105925524"/>
          <c:y val="0.11922461499541473"/>
          <c:w val="0.2326754865814866"/>
          <c:h val="0.62939189830186892"/>
        </c:manualLayout>
      </c:layout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0.13141696954505588"/>
          <c:y val="3.4229869715901154E-2"/>
          <c:w val="0.63860433638300651"/>
          <c:h val="0.85574674289752883"/>
        </c:manualLayout>
      </c:layout>
      <c:scatterChart>
        <c:scatterStyle val="smoothMarker"/>
        <c:ser>
          <c:idx val="3"/>
          <c:order val="0"/>
          <c:tx>
            <c:v>Drag S/L</c:v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xVal>
            <c:numRef>
              <c:f>SL!$L$2:$L$30</c:f>
              <c:numCache>
                <c:formatCode>0.000</c:formatCode>
                <c:ptCount val="29"/>
                <c:pt idx="0">
                  <c:v>0.24792952538068763</c:v>
                </c:pt>
                <c:pt idx="1">
                  <c:v>0.26556102699690859</c:v>
                </c:pt>
                <c:pt idx="2">
                  <c:v>0.2831925286131296</c:v>
                </c:pt>
                <c:pt idx="3">
                  <c:v>0.30082403022935056</c:v>
                </c:pt>
                <c:pt idx="4">
                  <c:v>0.31845553184557157</c:v>
                </c:pt>
                <c:pt idx="5">
                  <c:v>0.33608703346179253</c:v>
                </c:pt>
                <c:pt idx="6">
                  <c:v>0.35371853507801349</c:v>
                </c:pt>
                <c:pt idx="7">
                  <c:v>0.3713500366942345</c:v>
                </c:pt>
                <c:pt idx="8">
                  <c:v>0.38898153831045545</c:v>
                </c:pt>
                <c:pt idx="9">
                  <c:v>0.40661303992667647</c:v>
                </c:pt>
                <c:pt idx="10">
                  <c:v>0.42424454154289742</c:v>
                </c:pt>
                <c:pt idx="11">
                  <c:v>0.44187604315911844</c:v>
                </c:pt>
                <c:pt idx="12">
                  <c:v>0.45950754477533939</c:v>
                </c:pt>
                <c:pt idx="13">
                  <c:v>0.47713904639156035</c:v>
                </c:pt>
                <c:pt idx="14">
                  <c:v>0.49477054800778136</c:v>
                </c:pt>
                <c:pt idx="15">
                  <c:v>0.51240204962400238</c:v>
                </c:pt>
                <c:pt idx="16">
                  <c:v>0.53003355124022333</c:v>
                </c:pt>
                <c:pt idx="17">
                  <c:v>0.54766505285644429</c:v>
                </c:pt>
                <c:pt idx="18">
                  <c:v>0.56529655447266525</c:v>
                </c:pt>
                <c:pt idx="19">
                  <c:v>0.58292805608888631</c:v>
                </c:pt>
                <c:pt idx="20">
                  <c:v>0.60055955770510727</c:v>
                </c:pt>
                <c:pt idx="21">
                  <c:v>0.61819105932132823</c:v>
                </c:pt>
                <c:pt idx="22">
                  <c:v>0.63582256093754919</c:v>
                </c:pt>
                <c:pt idx="23">
                  <c:v>0.65345406255377014</c:v>
                </c:pt>
                <c:pt idx="24">
                  <c:v>0.67108556416999121</c:v>
                </c:pt>
                <c:pt idx="25">
                  <c:v>0.68871706578621217</c:v>
                </c:pt>
                <c:pt idx="26">
                  <c:v>0.70634856740243313</c:v>
                </c:pt>
                <c:pt idx="27">
                  <c:v>0.72398006901865408</c:v>
                </c:pt>
                <c:pt idx="28">
                  <c:v>0.74161157063487504</c:v>
                </c:pt>
              </c:numCache>
            </c:numRef>
          </c:xVal>
          <c:yVal>
            <c:numRef>
              <c:f>SL!$I$2:$I$30</c:f>
              <c:numCache>
                <c:formatCode>0.0</c:formatCode>
                <c:ptCount val="29"/>
                <c:pt idx="0">
                  <c:v>31782.100700019862</c:v>
                </c:pt>
                <c:pt idx="1">
                  <c:v>28892.832127987676</c:v>
                </c:pt>
                <c:pt idx="2">
                  <c:v>26685.025053918038</c:v>
                </c:pt>
                <c:pt idx="3">
                  <c:v>25013.638695340996</c:v>
                </c:pt>
                <c:pt idx="4">
                  <c:v>23772.636329479752</c:v>
                </c:pt>
                <c:pt idx="5">
                  <c:v>22883.043590872534</c:v>
                </c:pt>
                <c:pt idx="6">
                  <c:v>22285.064388601968</c:v>
                </c:pt>
                <c:pt idx="7">
                  <c:v>21932.751969584129</c:v>
                </c:pt>
                <c:pt idx="8">
                  <c:v>21790.330756342424</c:v>
                </c:pt>
                <c:pt idx="9">
                  <c:v>21829.609386201115</c:v>
                </c:pt>
                <c:pt idx="10">
                  <c:v>22028.130068919883</c:v>
                </c:pt>
                <c:pt idx="11">
                  <c:v>22367.824134709146</c:v>
                </c:pt>
                <c:pt idx="12">
                  <c:v>22834.021507690511</c:v>
                </c:pt>
                <c:pt idx="13">
                  <c:v>23414.711494666633</c:v>
                </c:pt>
                <c:pt idx="14">
                  <c:v>24099.984572714802</c:v>
                </c:pt>
                <c:pt idx="15">
                  <c:v>24881.606242552534</c:v>
                </c:pt>
                <c:pt idx="16">
                  <c:v>25752.688409540398</c:v>
                </c:pt>
                <c:pt idx="17">
                  <c:v>26707.433593255675</c:v>
                </c:pt>
                <c:pt idx="18">
                  <c:v>27740.934087082442</c:v>
                </c:pt>
                <c:pt idx="19">
                  <c:v>28849.012979504128</c:v>
                </c:pt>
                <c:pt idx="20">
                  <c:v>30028.097354281501</c:v>
                </c:pt>
                <c:pt idx="21">
                  <c:v>31275.116435378677</c:v>
                </c:pt>
                <c:pt idx="22">
                  <c:v>32587.419221976328</c:v>
                </c:pt>
                <c:pt idx="23">
                  <c:v>33962.707464997802</c:v>
                </c:pt>
                <c:pt idx="24">
                  <c:v>35398.980804200932</c:v>
                </c:pt>
                <c:pt idx="25">
                  <c:v>36894.491608093937</c:v>
                </c:pt>
                <c:pt idx="26">
                  <c:v>38447.707603955554</c:v>
                </c:pt>
                <c:pt idx="27">
                  <c:v>40057.280799205313</c:v>
                </c:pt>
                <c:pt idx="28">
                  <c:v>41722.021512129111</c:v>
                </c:pt>
              </c:numCache>
            </c:numRef>
          </c:yVal>
          <c:smooth val="1"/>
        </c:ser>
        <c:ser>
          <c:idx val="4"/>
          <c:order val="1"/>
          <c:tx>
            <c:v>Td S/L</c:v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xVal>
            <c:numRef>
              <c:f>SL!$L$2:$L$30</c:f>
              <c:numCache>
                <c:formatCode>0.000</c:formatCode>
                <c:ptCount val="29"/>
                <c:pt idx="0">
                  <c:v>0.24792952538068763</c:v>
                </c:pt>
                <c:pt idx="1">
                  <c:v>0.26556102699690859</c:v>
                </c:pt>
                <c:pt idx="2">
                  <c:v>0.2831925286131296</c:v>
                </c:pt>
                <c:pt idx="3">
                  <c:v>0.30082403022935056</c:v>
                </c:pt>
                <c:pt idx="4">
                  <c:v>0.31845553184557157</c:v>
                </c:pt>
                <c:pt idx="5">
                  <c:v>0.33608703346179253</c:v>
                </c:pt>
                <c:pt idx="6">
                  <c:v>0.35371853507801349</c:v>
                </c:pt>
                <c:pt idx="7">
                  <c:v>0.3713500366942345</c:v>
                </c:pt>
                <c:pt idx="8">
                  <c:v>0.38898153831045545</c:v>
                </c:pt>
                <c:pt idx="9">
                  <c:v>0.40661303992667647</c:v>
                </c:pt>
                <c:pt idx="10">
                  <c:v>0.42424454154289742</c:v>
                </c:pt>
                <c:pt idx="11">
                  <c:v>0.44187604315911844</c:v>
                </c:pt>
                <c:pt idx="12">
                  <c:v>0.45950754477533939</c:v>
                </c:pt>
                <c:pt idx="13">
                  <c:v>0.47713904639156035</c:v>
                </c:pt>
                <c:pt idx="14">
                  <c:v>0.49477054800778136</c:v>
                </c:pt>
                <c:pt idx="15">
                  <c:v>0.51240204962400238</c:v>
                </c:pt>
                <c:pt idx="16">
                  <c:v>0.53003355124022333</c:v>
                </c:pt>
                <c:pt idx="17">
                  <c:v>0.54766505285644429</c:v>
                </c:pt>
                <c:pt idx="18">
                  <c:v>0.56529655447266525</c:v>
                </c:pt>
                <c:pt idx="19">
                  <c:v>0.58292805608888631</c:v>
                </c:pt>
                <c:pt idx="20">
                  <c:v>0.60055955770510727</c:v>
                </c:pt>
                <c:pt idx="21">
                  <c:v>0.61819105932132823</c:v>
                </c:pt>
                <c:pt idx="22">
                  <c:v>0.63582256093754919</c:v>
                </c:pt>
                <c:pt idx="23">
                  <c:v>0.65345406255377014</c:v>
                </c:pt>
                <c:pt idx="24">
                  <c:v>0.67108556416999121</c:v>
                </c:pt>
                <c:pt idx="25">
                  <c:v>0.68871706578621217</c:v>
                </c:pt>
                <c:pt idx="26">
                  <c:v>0.70634856740243313</c:v>
                </c:pt>
                <c:pt idx="27">
                  <c:v>0.72398006901865408</c:v>
                </c:pt>
                <c:pt idx="28">
                  <c:v>0.74161157063487504</c:v>
                </c:pt>
              </c:numCache>
            </c:numRef>
          </c:xVal>
          <c:yVal>
            <c:numRef>
              <c:f>SL!$M$2:$M$30</c:f>
              <c:numCache>
                <c:formatCode>General</c:formatCode>
                <c:ptCount val="29"/>
                <c:pt idx="0">
                  <c:v>64785.516142590794</c:v>
                </c:pt>
                <c:pt idx="1">
                  <c:v>63702.695894400051</c:v>
                </c:pt>
                <c:pt idx="2">
                  <c:v>62649.981774585278</c:v>
                </c:pt>
                <c:pt idx="3">
                  <c:v>61627.373783146431</c:v>
                </c:pt>
                <c:pt idx="4">
                  <c:v>60634.871920083555</c:v>
                </c:pt>
                <c:pt idx="5">
                  <c:v>59672.476185396612</c:v>
                </c:pt>
                <c:pt idx="6">
                  <c:v>58740.186579085632</c:v>
                </c:pt>
                <c:pt idx="7">
                  <c:v>57838.003101150585</c:v>
                </c:pt>
                <c:pt idx="8">
                  <c:v>56965.925751591509</c:v>
                </c:pt>
                <c:pt idx="9">
                  <c:v>56123.954530408373</c:v>
                </c:pt>
                <c:pt idx="10">
                  <c:v>55312.089437601186</c:v>
                </c:pt>
                <c:pt idx="11">
                  <c:v>54530.330473169939</c:v>
                </c:pt>
                <c:pt idx="12">
                  <c:v>53778.677637114648</c:v>
                </c:pt>
                <c:pt idx="13">
                  <c:v>53057.130929435312</c:v>
                </c:pt>
                <c:pt idx="14">
                  <c:v>52365.690350131925</c:v>
                </c:pt>
                <c:pt idx="15">
                  <c:v>51704.355899204478</c:v>
                </c:pt>
                <c:pt idx="16">
                  <c:v>51073.127576652987</c:v>
                </c:pt>
                <c:pt idx="17">
                  <c:v>50472.005382477444</c:v>
                </c:pt>
                <c:pt idx="18">
                  <c:v>49900.989316677857</c:v>
                </c:pt>
                <c:pt idx="19">
                  <c:v>49360.07937925421</c:v>
                </c:pt>
                <c:pt idx="20">
                  <c:v>48849.275570206519</c:v>
                </c:pt>
                <c:pt idx="21">
                  <c:v>48368.577889534776</c:v>
                </c:pt>
                <c:pt idx="22">
                  <c:v>47917.986337238974</c:v>
                </c:pt>
                <c:pt idx="23">
                  <c:v>47497.500913319127</c:v>
                </c:pt>
                <c:pt idx="24">
                  <c:v>47107.121617775229</c:v>
                </c:pt>
                <c:pt idx="25">
                  <c:v>46746.848450607285</c:v>
                </c:pt>
                <c:pt idx="26">
                  <c:v>46416.681411815291</c:v>
                </c:pt>
                <c:pt idx="27">
                  <c:v>46116.620501399244</c:v>
                </c:pt>
                <c:pt idx="28">
                  <c:v>45846.665719359138</c:v>
                </c:pt>
              </c:numCache>
            </c:numRef>
          </c:yVal>
          <c:smooth val="1"/>
        </c:ser>
        <c:ser>
          <c:idx val="5"/>
          <c:order val="2"/>
          <c:tx>
            <c:v>Td S/L approx</c:v>
          </c:tx>
          <c:spPr>
            <a:ln>
              <a:solidFill>
                <a:srgbClr val="00B0F0"/>
              </a:solidFill>
              <a:prstDash val="dash"/>
            </a:ln>
          </c:spPr>
          <c:marker>
            <c:symbol val="none"/>
          </c:marker>
          <c:xVal>
            <c:numRef>
              <c:f>GRAFICO!$M$3:$M$4</c:f>
              <c:numCache>
                <c:formatCode>General</c:formatCode>
                <c:ptCount val="2"/>
                <c:pt idx="0">
                  <c:v>0.1</c:v>
                </c:pt>
                <c:pt idx="1">
                  <c:v>1</c:v>
                </c:pt>
              </c:numCache>
            </c:numRef>
          </c:xVal>
          <c:yVal>
            <c:numRef>
              <c:f>GRAFICO!$N$3:$N$4</c:f>
              <c:numCache>
                <c:formatCode>General</c:formatCode>
                <c:ptCount val="2"/>
                <c:pt idx="0">
                  <c:v>83200</c:v>
                </c:pt>
                <c:pt idx="1">
                  <c:v>83200</c:v>
                </c:pt>
              </c:numCache>
            </c:numRef>
          </c:yVal>
          <c:smooth val="1"/>
        </c:ser>
        <c:ser>
          <c:idx val="6"/>
          <c:order val="3"/>
          <c:tx>
            <c:v>Drag 20000ft</c:v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xVal>
            <c:numRef>
              <c:f>'h=20000'!$L$2:$L$30</c:f>
              <c:numCache>
                <c:formatCode>0.000</c:formatCode>
                <c:ptCount val="29"/>
                <c:pt idx="0">
                  <c:v>0.36579162628647188</c:v>
                </c:pt>
                <c:pt idx="1">
                  <c:v>0.38477620164759685</c:v>
                </c:pt>
                <c:pt idx="2">
                  <c:v>0.40376077700872182</c:v>
                </c:pt>
                <c:pt idx="3">
                  <c:v>0.42274535236984667</c:v>
                </c:pt>
                <c:pt idx="4">
                  <c:v>0.44172992773097164</c:v>
                </c:pt>
                <c:pt idx="5">
                  <c:v>0.46071450309209655</c:v>
                </c:pt>
                <c:pt idx="6">
                  <c:v>0.47969907845322152</c:v>
                </c:pt>
                <c:pt idx="7">
                  <c:v>0.49868365381434648</c:v>
                </c:pt>
                <c:pt idx="8">
                  <c:v>0.51766822917547139</c:v>
                </c:pt>
                <c:pt idx="9">
                  <c:v>0.53665280453659636</c:v>
                </c:pt>
                <c:pt idx="10">
                  <c:v>0.55563737989772133</c:v>
                </c:pt>
                <c:pt idx="11">
                  <c:v>0.57462195525884618</c:v>
                </c:pt>
                <c:pt idx="12">
                  <c:v>0.59360653061997115</c:v>
                </c:pt>
                <c:pt idx="13">
                  <c:v>0.61259110598109612</c:v>
                </c:pt>
                <c:pt idx="14">
                  <c:v>0.63157568134222108</c:v>
                </c:pt>
                <c:pt idx="15">
                  <c:v>0.65056025670334594</c:v>
                </c:pt>
                <c:pt idx="16">
                  <c:v>0.66954483206447091</c:v>
                </c:pt>
                <c:pt idx="17">
                  <c:v>0.68852940742559587</c:v>
                </c:pt>
                <c:pt idx="18">
                  <c:v>0.70751398278672084</c:v>
                </c:pt>
                <c:pt idx="19">
                  <c:v>0.72649855814784581</c:v>
                </c:pt>
                <c:pt idx="20">
                  <c:v>0.74548313350897066</c:v>
                </c:pt>
                <c:pt idx="21">
                  <c:v>0.76446770887009563</c:v>
                </c:pt>
                <c:pt idx="22">
                  <c:v>0.7834522842312206</c:v>
                </c:pt>
                <c:pt idx="23">
                  <c:v>0.80243685959234556</c:v>
                </c:pt>
                <c:pt idx="24">
                  <c:v>0.82142143495347053</c:v>
                </c:pt>
                <c:pt idx="25">
                  <c:v>0.84040601031459539</c:v>
                </c:pt>
                <c:pt idx="26">
                  <c:v>0.85939058567572035</c:v>
                </c:pt>
                <c:pt idx="27">
                  <c:v>0.87837516103684532</c:v>
                </c:pt>
                <c:pt idx="28">
                  <c:v>0.89735973639797029</c:v>
                </c:pt>
              </c:numCache>
            </c:numRef>
          </c:xVal>
          <c:yVal>
            <c:numRef>
              <c:f>'h=20000'!$I$2:$I$30</c:f>
              <c:numCache>
                <c:formatCode>0.0</c:formatCode>
                <c:ptCount val="29"/>
                <c:pt idx="0">
                  <c:v>31782.100700019859</c:v>
                </c:pt>
                <c:pt idx="1">
                  <c:v>29599.085789804467</c:v>
                </c:pt>
                <c:pt idx="2">
                  <c:v>27803.330728819234</c:v>
                </c:pt>
                <c:pt idx="3">
                  <c:v>26330.944320230141</c:v>
                </c:pt>
                <c:pt idx="4">
                  <c:v>25131.462730553547</c:v>
                </c:pt>
                <c:pt idx="5">
                  <c:v>24164.600246493985</c:v>
                </c:pt>
                <c:pt idx="6">
                  <c:v>23397.881679277769</c:v>
                </c:pt>
                <c:pt idx="7">
                  <c:v>22804.893248260185</c:v>
                </c:pt>
                <c:pt idx="8">
                  <c:v>22363.973961692162</c:v>
                </c:pt>
                <c:pt idx="9">
                  <c:v>22057.225127160851</c:v>
                </c:pt>
                <c:pt idx="10">
                  <c:v>21869.752579499898</c:v>
                </c:pt>
                <c:pt idx="11">
                  <c:v>21789.081172241105</c:v>
                </c:pt>
                <c:pt idx="12">
                  <c:v>21804.698189030969</c:v>
                </c:pt>
                <c:pt idx="13">
                  <c:v>21907.694225394767</c:v>
                </c:pt>
                <c:pt idx="14">
                  <c:v>22090.478466262088</c:v>
                </c:pt>
                <c:pt idx="15">
                  <c:v>22346.551253001231</c:v>
                </c:pt>
                <c:pt idx="16">
                  <c:v>22670.321134810099</c:v>
                </c:pt>
                <c:pt idx="17">
                  <c:v>23056.956731534941</c:v>
                </c:pt>
                <c:pt idx="18">
                  <c:v>23502.266038493271</c:v>
                </c:pt>
                <c:pt idx="19">
                  <c:v>24002.597513620502</c:v>
                </c:pt>
                <c:pt idx="20">
                  <c:v>24554.758567358949</c:v>
                </c:pt>
                <c:pt idx="21">
                  <c:v>25155.948042007196</c:v>
                </c:pt>
                <c:pt idx="22">
                  <c:v>25803.700002336052</c:v>
                </c:pt>
                <c:pt idx="23">
                  <c:v>26495.836722584812</c:v>
                </c:pt>
                <c:pt idx="24">
                  <c:v>27230.429189624792</c:v>
                </c:pt>
                <c:pt idx="25">
                  <c:v>28005.763779706293</c:v>
                </c:pt>
                <c:pt idx="26">
                  <c:v>28820.314030099966</c:v>
                </c:pt>
                <c:pt idx="27">
                  <c:v>29672.716634438806</c:v>
                </c:pt>
                <c:pt idx="28">
                  <c:v>30561.750954643561</c:v>
                </c:pt>
              </c:numCache>
            </c:numRef>
          </c:yVal>
          <c:smooth val="1"/>
        </c:ser>
        <c:ser>
          <c:idx val="7"/>
          <c:order val="4"/>
          <c:tx>
            <c:v>Td 20000ft</c:v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xVal>
            <c:numRef>
              <c:f>'h=20000'!$L$2:$L$30</c:f>
              <c:numCache>
                <c:formatCode>0.000</c:formatCode>
                <c:ptCount val="29"/>
                <c:pt idx="0">
                  <c:v>0.36579162628647188</c:v>
                </c:pt>
                <c:pt idx="1">
                  <c:v>0.38477620164759685</c:v>
                </c:pt>
                <c:pt idx="2">
                  <c:v>0.40376077700872182</c:v>
                </c:pt>
                <c:pt idx="3">
                  <c:v>0.42274535236984667</c:v>
                </c:pt>
                <c:pt idx="4">
                  <c:v>0.44172992773097164</c:v>
                </c:pt>
                <c:pt idx="5">
                  <c:v>0.46071450309209655</c:v>
                </c:pt>
                <c:pt idx="6">
                  <c:v>0.47969907845322152</c:v>
                </c:pt>
                <c:pt idx="7">
                  <c:v>0.49868365381434648</c:v>
                </c:pt>
                <c:pt idx="8">
                  <c:v>0.51766822917547139</c:v>
                </c:pt>
                <c:pt idx="9">
                  <c:v>0.53665280453659636</c:v>
                </c:pt>
                <c:pt idx="10">
                  <c:v>0.55563737989772133</c:v>
                </c:pt>
                <c:pt idx="11">
                  <c:v>0.57462195525884618</c:v>
                </c:pt>
                <c:pt idx="12">
                  <c:v>0.59360653061997115</c:v>
                </c:pt>
                <c:pt idx="13">
                  <c:v>0.61259110598109612</c:v>
                </c:pt>
                <c:pt idx="14">
                  <c:v>0.63157568134222108</c:v>
                </c:pt>
                <c:pt idx="15">
                  <c:v>0.65056025670334594</c:v>
                </c:pt>
                <c:pt idx="16">
                  <c:v>0.66954483206447091</c:v>
                </c:pt>
                <c:pt idx="17">
                  <c:v>0.68852940742559587</c:v>
                </c:pt>
                <c:pt idx="18">
                  <c:v>0.70751398278672084</c:v>
                </c:pt>
                <c:pt idx="19">
                  <c:v>0.72649855814784581</c:v>
                </c:pt>
                <c:pt idx="20">
                  <c:v>0.74548313350897066</c:v>
                </c:pt>
                <c:pt idx="21">
                  <c:v>0.76446770887009563</c:v>
                </c:pt>
                <c:pt idx="22">
                  <c:v>0.7834522842312206</c:v>
                </c:pt>
                <c:pt idx="23">
                  <c:v>0.80243685959234556</c:v>
                </c:pt>
                <c:pt idx="24">
                  <c:v>0.82142143495347053</c:v>
                </c:pt>
                <c:pt idx="25">
                  <c:v>0.84040601031459539</c:v>
                </c:pt>
                <c:pt idx="26">
                  <c:v>0.85939058567572035</c:v>
                </c:pt>
                <c:pt idx="27">
                  <c:v>0.87837516103684532</c:v>
                </c:pt>
                <c:pt idx="28">
                  <c:v>0.89735973639797029</c:v>
                </c:pt>
              </c:numCache>
            </c:numRef>
          </c:xVal>
          <c:yVal>
            <c:numRef>
              <c:f>'h=20000'!$M$2:$M$30</c:f>
              <c:numCache>
                <c:formatCode>General</c:formatCode>
                <c:ptCount val="29"/>
                <c:pt idx="0">
                  <c:v>40415.887674537866</c:v>
                </c:pt>
                <c:pt idx="1">
                  <c:v>40103.2187129386</c:v>
                </c:pt>
                <c:pt idx="2">
                  <c:v>39795.587475486442</c:v>
                </c:pt>
                <c:pt idx="3">
                  <c:v>39492.993962181397</c:v>
                </c:pt>
                <c:pt idx="4">
                  <c:v>39195.438173023475</c:v>
                </c:pt>
                <c:pt idx="5">
                  <c:v>38902.920108012659</c:v>
                </c:pt>
                <c:pt idx="6">
                  <c:v>38615.439767148957</c:v>
                </c:pt>
                <c:pt idx="7">
                  <c:v>38332.997150432377</c:v>
                </c:pt>
                <c:pt idx="8">
                  <c:v>38055.592257862911</c:v>
                </c:pt>
                <c:pt idx="9">
                  <c:v>37783.225089440552</c:v>
                </c:pt>
                <c:pt idx="10">
                  <c:v>37515.895645165314</c:v>
                </c:pt>
                <c:pt idx="11">
                  <c:v>37253.603925037183</c:v>
                </c:pt>
                <c:pt idx="12">
                  <c:v>36996.349929056174</c:v>
                </c:pt>
                <c:pt idx="13">
                  <c:v>36744.133657222272</c:v>
                </c:pt>
                <c:pt idx="14">
                  <c:v>36496.955109535484</c:v>
                </c:pt>
                <c:pt idx="15">
                  <c:v>36254.814285995817</c:v>
                </c:pt>
                <c:pt idx="16">
                  <c:v>36017.711186603265</c:v>
                </c:pt>
                <c:pt idx="17">
                  <c:v>35785.645811357826</c:v>
                </c:pt>
                <c:pt idx="18">
                  <c:v>35558.618160259495</c:v>
                </c:pt>
                <c:pt idx="19">
                  <c:v>35336.628233308285</c:v>
                </c:pt>
                <c:pt idx="20">
                  <c:v>35119.67603050419</c:v>
                </c:pt>
                <c:pt idx="21">
                  <c:v>34907.761551847208</c:v>
                </c:pt>
                <c:pt idx="22">
                  <c:v>34700.884797337341</c:v>
                </c:pt>
                <c:pt idx="23">
                  <c:v>34499.045766974588</c:v>
                </c:pt>
                <c:pt idx="24">
                  <c:v>34302.24446075895</c:v>
                </c:pt>
                <c:pt idx="25">
                  <c:v>34110.480878690425</c:v>
                </c:pt>
                <c:pt idx="26">
                  <c:v>33923.755020769015</c:v>
                </c:pt>
                <c:pt idx="27">
                  <c:v>33742.066886994719</c:v>
                </c:pt>
                <c:pt idx="28">
                  <c:v>33565.416477367537</c:v>
                </c:pt>
              </c:numCache>
            </c:numRef>
          </c:yVal>
          <c:smooth val="1"/>
        </c:ser>
        <c:ser>
          <c:idx val="8"/>
          <c:order val="5"/>
          <c:tx>
            <c:v>Drag 20000ft Compr</c:v>
          </c:tx>
          <c:spPr>
            <a:ln>
              <a:prstDash val="sysDash"/>
            </a:ln>
          </c:spPr>
          <c:marker>
            <c:symbol val="none"/>
          </c:marker>
          <c:xVal>
            <c:numRef>
              <c:f>'h=20000'!$L$2:$L$30</c:f>
              <c:numCache>
                <c:formatCode>0.000</c:formatCode>
                <c:ptCount val="29"/>
                <c:pt idx="0">
                  <c:v>0.36579162628647188</c:v>
                </c:pt>
                <c:pt idx="1">
                  <c:v>0.38477620164759685</c:v>
                </c:pt>
                <c:pt idx="2">
                  <c:v>0.40376077700872182</c:v>
                </c:pt>
                <c:pt idx="3">
                  <c:v>0.42274535236984667</c:v>
                </c:pt>
                <c:pt idx="4">
                  <c:v>0.44172992773097164</c:v>
                </c:pt>
                <c:pt idx="5">
                  <c:v>0.46071450309209655</c:v>
                </c:pt>
                <c:pt idx="6">
                  <c:v>0.47969907845322152</c:v>
                </c:pt>
                <c:pt idx="7">
                  <c:v>0.49868365381434648</c:v>
                </c:pt>
                <c:pt idx="8">
                  <c:v>0.51766822917547139</c:v>
                </c:pt>
                <c:pt idx="9">
                  <c:v>0.53665280453659636</c:v>
                </c:pt>
                <c:pt idx="10">
                  <c:v>0.55563737989772133</c:v>
                </c:pt>
                <c:pt idx="11">
                  <c:v>0.57462195525884618</c:v>
                </c:pt>
                <c:pt idx="12">
                  <c:v>0.59360653061997115</c:v>
                </c:pt>
                <c:pt idx="13">
                  <c:v>0.61259110598109612</c:v>
                </c:pt>
                <c:pt idx="14">
                  <c:v>0.63157568134222108</c:v>
                </c:pt>
                <c:pt idx="15">
                  <c:v>0.65056025670334594</c:v>
                </c:pt>
                <c:pt idx="16">
                  <c:v>0.66954483206447091</c:v>
                </c:pt>
                <c:pt idx="17">
                  <c:v>0.68852940742559587</c:v>
                </c:pt>
                <c:pt idx="18">
                  <c:v>0.70751398278672084</c:v>
                </c:pt>
                <c:pt idx="19">
                  <c:v>0.72649855814784581</c:v>
                </c:pt>
                <c:pt idx="20">
                  <c:v>0.74548313350897066</c:v>
                </c:pt>
                <c:pt idx="21">
                  <c:v>0.76446770887009563</c:v>
                </c:pt>
                <c:pt idx="22">
                  <c:v>0.7834522842312206</c:v>
                </c:pt>
                <c:pt idx="23">
                  <c:v>0.80243685959234556</c:v>
                </c:pt>
                <c:pt idx="24">
                  <c:v>0.82142143495347053</c:v>
                </c:pt>
                <c:pt idx="25">
                  <c:v>0.84040601031459539</c:v>
                </c:pt>
                <c:pt idx="26">
                  <c:v>0.85939058567572035</c:v>
                </c:pt>
                <c:pt idx="27">
                  <c:v>0.87837516103684532</c:v>
                </c:pt>
                <c:pt idx="28">
                  <c:v>0.89735973639797029</c:v>
                </c:pt>
              </c:numCache>
            </c:numRef>
          </c:xVal>
          <c:yVal>
            <c:numRef>
              <c:f>'h=20000'!$U$2:$U$30</c:f>
              <c:numCache>
                <c:formatCode>General</c:formatCode>
                <c:ptCount val="29"/>
                <c:pt idx="0">
                  <c:v>31782.100700019859</c:v>
                </c:pt>
                <c:pt idx="1">
                  <c:v>29599.085789804467</c:v>
                </c:pt>
                <c:pt idx="2">
                  <c:v>27803.330728819234</c:v>
                </c:pt>
                <c:pt idx="3">
                  <c:v>26330.944320230141</c:v>
                </c:pt>
                <c:pt idx="4">
                  <c:v>25131.462730553547</c:v>
                </c:pt>
                <c:pt idx="5">
                  <c:v>24164.600246493985</c:v>
                </c:pt>
                <c:pt idx="6">
                  <c:v>23397.881679277769</c:v>
                </c:pt>
                <c:pt idx="7">
                  <c:v>22804.893248260185</c:v>
                </c:pt>
                <c:pt idx="8">
                  <c:v>22363.973961692162</c:v>
                </c:pt>
                <c:pt idx="9">
                  <c:v>22057.225127160851</c:v>
                </c:pt>
                <c:pt idx="10">
                  <c:v>21869.752579499898</c:v>
                </c:pt>
                <c:pt idx="11">
                  <c:v>21789.081172241105</c:v>
                </c:pt>
                <c:pt idx="12">
                  <c:v>21804.698189030969</c:v>
                </c:pt>
                <c:pt idx="13">
                  <c:v>21907.694225394767</c:v>
                </c:pt>
                <c:pt idx="14">
                  <c:v>22090.478466262088</c:v>
                </c:pt>
                <c:pt idx="15">
                  <c:v>22346.551253001231</c:v>
                </c:pt>
                <c:pt idx="16">
                  <c:v>22670.321134810099</c:v>
                </c:pt>
                <c:pt idx="17">
                  <c:v>23056.956731534941</c:v>
                </c:pt>
                <c:pt idx="18">
                  <c:v>23502.266038493271</c:v>
                </c:pt>
                <c:pt idx="19">
                  <c:v>24002.597513620502</c:v>
                </c:pt>
                <c:pt idx="20">
                  <c:v>24554.758567358949</c:v>
                </c:pt>
                <c:pt idx="21">
                  <c:v>25155.948042007196</c:v>
                </c:pt>
                <c:pt idx="22">
                  <c:v>25803.700002336052</c:v>
                </c:pt>
                <c:pt idx="23">
                  <c:v>26495.836722584812</c:v>
                </c:pt>
                <c:pt idx="24">
                  <c:v>27230.429189624792</c:v>
                </c:pt>
                <c:pt idx="25">
                  <c:v>31593.190964596375</c:v>
                </c:pt>
                <c:pt idx="26">
                  <c:v>38922.406828962587</c:v>
                </c:pt>
                <c:pt idx="27">
                  <c:v>46251.622693328798</c:v>
                </c:pt>
                <c:pt idx="28">
                  <c:v>53580.838557695017</c:v>
                </c:pt>
              </c:numCache>
            </c:numRef>
          </c:yVal>
          <c:smooth val="1"/>
        </c:ser>
        <c:ser>
          <c:idx val="9"/>
          <c:order val="6"/>
          <c:tx>
            <c:v>Td 20000 approx</c:v>
          </c:tx>
          <c:spPr>
            <a:ln>
              <a:solidFill>
                <a:srgbClr val="92D050"/>
              </a:solidFill>
              <a:prstDash val="dash"/>
            </a:ln>
          </c:spPr>
          <c:marker>
            <c:symbol val="none"/>
          </c:marker>
          <c:xVal>
            <c:numRef>
              <c:f>GRAFICO!$M$3:$M$4</c:f>
              <c:numCache>
                <c:formatCode>General</c:formatCode>
                <c:ptCount val="2"/>
                <c:pt idx="0">
                  <c:v>0.1</c:v>
                </c:pt>
                <c:pt idx="1">
                  <c:v>1</c:v>
                </c:pt>
              </c:numCache>
            </c:numRef>
          </c:xVal>
          <c:yVal>
            <c:numRef>
              <c:f>GRAFICO!$O$3:$O$4</c:f>
              <c:numCache>
                <c:formatCode>General</c:formatCode>
                <c:ptCount val="2"/>
                <c:pt idx="0">
                  <c:v>44313.441310872491</c:v>
                </c:pt>
                <c:pt idx="1">
                  <c:v>44313.441310872491</c:v>
                </c:pt>
              </c:numCache>
            </c:numRef>
          </c:yVal>
          <c:smooth val="1"/>
        </c:ser>
        <c:ser>
          <c:idx val="10"/>
          <c:order val="7"/>
          <c:tx>
            <c:v>Drag 30000ft</c:v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xVal>
            <c:numRef>
              <c:f>'h=30000'!$L$2:$L$30</c:f>
              <c:numCache>
                <c:formatCode>0.000</c:formatCode>
                <c:ptCount val="29"/>
                <c:pt idx="0">
                  <c:v>0.45508287394947511</c:v>
                </c:pt>
                <c:pt idx="1">
                  <c:v>0.47487229040520579</c:v>
                </c:pt>
                <c:pt idx="2">
                  <c:v>0.49466170686093641</c:v>
                </c:pt>
                <c:pt idx="3">
                  <c:v>0.51445112331666709</c:v>
                </c:pt>
                <c:pt idx="4">
                  <c:v>0.53424053977239772</c:v>
                </c:pt>
                <c:pt idx="5">
                  <c:v>0.55402995622812834</c:v>
                </c:pt>
                <c:pt idx="6">
                  <c:v>0.57381937268385907</c:v>
                </c:pt>
                <c:pt idx="7">
                  <c:v>0.5936087891395897</c:v>
                </c:pt>
                <c:pt idx="8">
                  <c:v>0.61339820559532032</c:v>
                </c:pt>
                <c:pt idx="9">
                  <c:v>0.63318762205105095</c:v>
                </c:pt>
                <c:pt idx="10">
                  <c:v>0.65297703850678168</c:v>
                </c:pt>
                <c:pt idx="11">
                  <c:v>0.67276645496251231</c:v>
                </c:pt>
                <c:pt idx="12">
                  <c:v>0.69255587141824293</c:v>
                </c:pt>
                <c:pt idx="13">
                  <c:v>0.71234528787397366</c:v>
                </c:pt>
                <c:pt idx="14">
                  <c:v>0.73213470432970429</c:v>
                </c:pt>
                <c:pt idx="15">
                  <c:v>0.75192412078543491</c:v>
                </c:pt>
                <c:pt idx="16">
                  <c:v>0.77171353724116554</c:v>
                </c:pt>
                <c:pt idx="17">
                  <c:v>0.79150295369689627</c:v>
                </c:pt>
                <c:pt idx="18">
                  <c:v>0.8112923701526269</c:v>
                </c:pt>
                <c:pt idx="19">
                  <c:v>0.83108178660835752</c:v>
                </c:pt>
                <c:pt idx="20">
                  <c:v>0.85087120306408814</c:v>
                </c:pt>
                <c:pt idx="21">
                  <c:v>0.87066061951981877</c:v>
                </c:pt>
                <c:pt idx="22">
                  <c:v>0.89045003597554939</c:v>
                </c:pt>
                <c:pt idx="23">
                  <c:v>0.91023945243128002</c:v>
                </c:pt>
                <c:pt idx="24">
                  <c:v>0.93002886888701075</c:v>
                </c:pt>
                <c:pt idx="25">
                  <c:v>0.94981828534274138</c:v>
                </c:pt>
                <c:pt idx="26">
                  <c:v>0.969607701798472</c:v>
                </c:pt>
                <c:pt idx="27">
                  <c:v>0.98939711825420262</c:v>
                </c:pt>
                <c:pt idx="28">
                  <c:v>1.0091865347099334</c:v>
                </c:pt>
              </c:numCache>
            </c:numRef>
          </c:xVal>
          <c:yVal>
            <c:numRef>
              <c:f>'h=30000'!$I$2:$I$30</c:f>
              <c:numCache>
                <c:formatCode>0.0</c:formatCode>
                <c:ptCount val="29"/>
                <c:pt idx="0">
                  <c:v>31782.10070001987</c:v>
                </c:pt>
                <c:pt idx="1">
                  <c:v>29924.811181085588</c:v>
                </c:pt>
                <c:pt idx="2">
                  <c:v>28347.421732245868</c:v>
                </c:pt>
                <c:pt idx="3">
                  <c:v>27010.169366658265</c:v>
                </c:pt>
                <c:pt idx="4">
                  <c:v>25880.516442609525</c:v>
                </c:pt>
                <c:pt idx="5">
                  <c:v>24931.63056390575</c:v>
                </c:pt>
                <c:pt idx="6">
                  <c:v>24141.224912639769</c:v>
                </c:pt>
                <c:pt idx="7">
                  <c:v>23490.664551332837</c:v>
                </c:pt>
                <c:pt idx="8">
                  <c:v>22964.271197451828</c:v>
                </c:pt>
                <c:pt idx="9">
                  <c:v>22548.777649701133</c:v>
                </c:pt>
                <c:pt idx="10">
                  <c:v>22232.896151614797</c:v>
                </c:pt>
                <c:pt idx="11">
                  <c:v>22006.974288258731</c:v>
                </c:pt>
                <c:pt idx="12">
                  <c:v>21862.718701480906</c:v>
                </c:pt>
                <c:pt idx="13">
                  <c:v>21792.971767284293</c:v>
                </c:pt>
                <c:pt idx="14">
                  <c:v>21791.52994238161</c:v>
                </c:pt>
                <c:pt idx="15">
                  <c:v>21852.995125467281</c:v>
                </c:pt>
                <c:pt idx="16">
                  <c:v>21972.652349637923</c:v>
                </c:pt>
                <c:pt idx="17">
                  <c:v>22146.368606914755</c:v>
                </c:pt>
                <c:pt idx="18">
                  <c:v>22370.508732812425</c:v>
                </c:pt>
                <c:pt idx="19">
                  <c:v>22641.865140845803</c:v>
                </c:pt>
                <c:pt idx="20">
                  <c:v>22957.59886075589</c:v>
                </c:pt>
                <c:pt idx="21">
                  <c:v>23315.189849003174</c:v>
                </c:pt>
                <c:pt idx="22">
                  <c:v>23712.394941755127</c:v>
                </c:pt>
                <c:pt idx="23">
                  <c:v>24147.212135924878</c:v>
                </c:pt>
                <c:pt idx="24">
                  <c:v>24617.850132787982</c:v>
                </c:pt>
                <c:pt idx="25">
                  <c:v>25122.702276358876</c:v>
                </c:pt>
                <c:pt idx="26">
                  <c:v>25660.324176446175</c:v>
                </c:pt>
                <c:pt idx="27">
                  <c:v>26229.414432819194</c:v>
                </c:pt>
                <c:pt idx="28">
                  <c:v>26828.797978872619</c:v>
                </c:pt>
              </c:numCache>
            </c:numRef>
          </c:yVal>
          <c:smooth val="1"/>
        </c:ser>
        <c:ser>
          <c:idx val="11"/>
          <c:order val="8"/>
          <c:tx>
            <c:v>Td 30000ft</c:v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xVal>
            <c:numRef>
              <c:f>'h=30000'!$L$2:$L$30</c:f>
              <c:numCache>
                <c:formatCode>0.000</c:formatCode>
                <c:ptCount val="29"/>
                <c:pt idx="0">
                  <c:v>0.45508287394947511</c:v>
                </c:pt>
                <c:pt idx="1">
                  <c:v>0.47487229040520579</c:v>
                </c:pt>
                <c:pt idx="2">
                  <c:v>0.49466170686093641</c:v>
                </c:pt>
                <c:pt idx="3">
                  <c:v>0.51445112331666709</c:v>
                </c:pt>
                <c:pt idx="4">
                  <c:v>0.53424053977239772</c:v>
                </c:pt>
                <c:pt idx="5">
                  <c:v>0.55402995622812834</c:v>
                </c:pt>
                <c:pt idx="6">
                  <c:v>0.57381937268385907</c:v>
                </c:pt>
                <c:pt idx="7">
                  <c:v>0.5936087891395897</c:v>
                </c:pt>
                <c:pt idx="8">
                  <c:v>0.61339820559532032</c:v>
                </c:pt>
                <c:pt idx="9">
                  <c:v>0.63318762205105095</c:v>
                </c:pt>
                <c:pt idx="10">
                  <c:v>0.65297703850678168</c:v>
                </c:pt>
                <c:pt idx="11">
                  <c:v>0.67276645496251231</c:v>
                </c:pt>
                <c:pt idx="12">
                  <c:v>0.69255587141824293</c:v>
                </c:pt>
                <c:pt idx="13">
                  <c:v>0.71234528787397366</c:v>
                </c:pt>
                <c:pt idx="14">
                  <c:v>0.73213470432970429</c:v>
                </c:pt>
                <c:pt idx="15">
                  <c:v>0.75192412078543491</c:v>
                </c:pt>
                <c:pt idx="16">
                  <c:v>0.77171353724116554</c:v>
                </c:pt>
                <c:pt idx="17">
                  <c:v>0.79150295369689627</c:v>
                </c:pt>
                <c:pt idx="18">
                  <c:v>0.8112923701526269</c:v>
                </c:pt>
                <c:pt idx="19">
                  <c:v>0.83108178660835752</c:v>
                </c:pt>
                <c:pt idx="20">
                  <c:v>0.85087120306408814</c:v>
                </c:pt>
                <c:pt idx="21">
                  <c:v>0.87066061951981877</c:v>
                </c:pt>
                <c:pt idx="22">
                  <c:v>0.89045003597554939</c:v>
                </c:pt>
                <c:pt idx="23">
                  <c:v>0.91023945243128002</c:v>
                </c:pt>
                <c:pt idx="24">
                  <c:v>0.93002886888701075</c:v>
                </c:pt>
                <c:pt idx="25">
                  <c:v>0.94981828534274138</c:v>
                </c:pt>
                <c:pt idx="26">
                  <c:v>0.969607701798472</c:v>
                </c:pt>
                <c:pt idx="27">
                  <c:v>0.98939711825420262</c:v>
                </c:pt>
                <c:pt idx="28">
                  <c:v>1.0091865347099334</c:v>
                </c:pt>
              </c:numCache>
            </c:numRef>
          </c:xVal>
          <c:yVal>
            <c:numRef>
              <c:f>'h=30000'!$M$2:$M$30</c:f>
              <c:numCache>
                <c:formatCode>General</c:formatCode>
                <c:ptCount val="29"/>
                <c:pt idx="0">
                  <c:v>31109.011658767777</c:v>
                </c:pt>
                <c:pt idx="1">
                  <c:v>31109.011658767777</c:v>
                </c:pt>
                <c:pt idx="2">
                  <c:v>31109.011658767777</c:v>
                </c:pt>
                <c:pt idx="3">
                  <c:v>31109.011658767777</c:v>
                </c:pt>
                <c:pt idx="4">
                  <c:v>31109.011658767777</c:v>
                </c:pt>
                <c:pt idx="5">
                  <c:v>31109.011658767777</c:v>
                </c:pt>
                <c:pt idx="6">
                  <c:v>31109.011658767777</c:v>
                </c:pt>
                <c:pt idx="7">
                  <c:v>31109.011658767777</c:v>
                </c:pt>
                <c:pt idx="8">
                  <c:v>31109.011658767777</c:v>
                </c:pt>
                <c:pt idx="9">
                  <c:v>31109.011658767777</c:v>
                </c:pt>
                <c:pt idx="10">
                  <c:v>31109.011658767777</c:v>
                </c:pt>
                <c:pt idx="11">
                  <c:v>31109.011658767777</c:v>
                </c:pt>
                <c:pt idx="12">
                  <c:v>31109.011658767777</c:v>
                </c:pt>
                <c:pt idx="13">
                  <c:v>31109.011658767777</c:v>
                </c:pt>
                <c:pt idx="14">
                  <c:v>31109.011658767777</c:v>
                </c:pt>
                <c:pt idx="15">
                  <c:v>31109.011658767777</c:v>
                </c:pt>
                <c:pt idx="16">
                  <c:v>31109.011658767777</c:v>
                </c:pt>
                <c:pt idx="17">
                  <c:v>31109.011658767777</c:v>
                </c:pt>
                <c:pt idx="18">
                  <c:v>31109.011658767777</c:v>
                </c:pt>
                <c:pt idx="19">
                  <c:v>31109.011658767777</c:v>
                </c:pt>
                <c:pt idx="20">
                  <c:v>31109.011658767777</c:v>
                </c:pt>
                <c:pt idx="21">
                  <c:v>31109.011658767777</c:v>
                </c:pt>
                <c:pt idx="22">
                  <c:v>31109.011658767777</c:v>
                </c:pt>
                <c:pt idx="23">
                  <c:v>31109.011658767777</c:v>
                </c:pt>
                <c:pt idx="24">
                  <c:v>31109.011658767777</c:v>
                </c:pt>
                <c:pt idx="25">
                  <c:v>31109.011658767777</c:v>
                </c:pt>
                <c:pt idx="26">
                  <c:v>31109.011658767777</c:v>
                </c:pt>
                <c:pt idx="27">
                  <c:v>31109.011658767777</c:v>
                </c:pt>
                <c:pt idx="28">
                  <c:v>31109.011658767777</c:v>
                </c:pt>
              </c:numCache>
            </c:numRef>
          </c:yVal>
          <c:smooth val="1"/>
        </c:ser>
        <c:ser>
          <c:idx val="12"/>
          <c:order val="9"/>
          <c:tx>
            <c:v>Drag 30000ft Comp</c:v>
          </c:tx>
          <c:spPr>
            <a:ln>
              <a:solidFill>
                <a:srgbClr val="002060"/>
              </a:solidFill>
              <a:prstDash val="sysDash"/>
            </a:ln>
          </c:spPr>
          <c:marker>
            <c:symbol val="none"/>
          </c:marker>
          <c:xVal>
            <c:numRef>
              <c:f>'h=30000'!$L$2:$L$27</c:f>
              <c:numCache>
                <c:formatCode>0.000</c:formatCode>
                <c:ptCount val="26"/>
                <c:pt idx="0">
                  <c:v>0.45508287394947511</c:v>
                </c:pt>
                <c:pt idx="1">
                  <c:v>0.47487229040520579</c:v>
                </c:pt>
                <c:pt idx="2">
                  <c:v>0.49466170686093641</c:v>
                </c:pt>
                <c:pt idx="3">
                  <c:v>0.51445112331666709</c:v>
                </c:pt>
                <c:pt idx="4">
                  <c:v>0.53424053977239772</c:v>
                </c:pt>
                <c:pt idx="5">
                  <c:v>0.55402995622812834</c:v>
                </c:pt>
                <c:pt idx="6">
                  <c:v>0.57381937268385907</c:v>
                </c:pt>
                <c:pt idx="7">
                  <c:v>0.5936087891395897</c:v>
                </c:pt>
                <c:pt idx="8">
                  <c:v>0.61339820559532032</c:v>
                </c:pt>
                <c:pt idx="9">
                  <c:v>0.63318762205105095</c:v>
                </c:pt>
                <c:pt idx="10">
                  <c:v>0.65297703850678168</c:v>
                </c:pt>
                <c:pt idx="11">
                  <c:v>0.67276645496251231</c:v>
                </c:pt>
                <c:pt idx="12">
                  <c:v>0.69255587141824293</c:v>
                </c:pt>
                <c:pt idx="13">
                  <c:v>0.71234528787397366</c:v>
                </c:pt>
                <c:pt idx="14">
                  <c:v>0.73213470432970429</c:v>
                </c:pt>
                <c:pt idx="15">
                  <c:v>0.75192412078543491</c:v>
                </c:pt>
                <c:pt idx="16">
                  <c:v>0.77171353724116554</c:v>
                </c:pt>
                <c:pt idx="17">
                  <c:v>0.79150295369689627</c:v>
                </c:pt>
                <c:pt idx="18">
                  <c:v>0.8112923701526269</c:v>
                </c:pt>
                <c:pt idx="19">
                  <c:v>0.83108178660835752</c:v>
                </c:pt>
                <c:pt idx="20">
                  <c:v>0.85087120306408814</c:v>
                </c:pt>
                <c:pt idx="21">
                  <c:v>0.87066061951981877</c:v>
                </c:pt>
                <c:pt idx="22">
                  <c:v>0.89045003597554939</c:v>
                </c:pt>
                <c:pt idx="23">
                  <c:v>0.91023945243128002</c:v>
                </c:pt>
                <c:pt idx="24">
                  <c:v>0.93002886888701075</c:v>
                </c:pt>
                <c:pt idx="25">
                  <c:v>0.94981828534274138</c:v>
                </c:pt>
              </c:numCache>
            </c:numRef>
          </c:xVal>
          <c:yVal>
            <c:numRef>
              <c:f>'h=30000'!$U$2:$U$27</c:f>
              <c:numCache>
                <c:formatCode>General</c:formatCode>
                <c:ptCount val="26"/>
                <c:pt idx="0">
                  <c:v>31782.10070001987</c:v>
                </c:pt>
                <c:pt idx="1">
                  <c:v>29924.811181085588</c:v>
                </c:pt>
                <c:pt idx="2">
                  <c:v>28347.421732245868</c:v>
                </c:pt>
                <c:pt idx="3">
                  <c:v>27010.169366658265</c:v>
                </c:pt>
                <c:pt idx="4">
                  <c:v>25880.516442609525</c:v>
                </c:pt>
                <c:pt idx="5">
                  <c:v>24931.63056390575</c:v>
                </c:pt>
                <c:pt idx="6">
                  <c:v>24141.224912639769</c:v>
                </c:pt>
                <c:pt idx="7">
                  <c:v>23490.664551332837</c:v>
                </c:pt>
                <c:pt idx="8">
                  <c:v>22964.271197451828</c:v>
                </c:pt>
                <c:pt idx="9">
                  <c:v>22548.777649701133</c:v>
                </c:pt>
                <c:pt idx="10">
                  <c:v>22232.896151614797</c:v>
                </c:pt>
                <c:pt idx="11">
                  <c:v>22006.974288258731</c:v>
                </c:pt>
                <c:pt idx="12">
                  <c:v>21862.718701480906</c:v>
                </c:pt>
                <c:pt idx="13">
                  <c:v>21792.971767284293</c:v>
                </c:pt>
                <c:pt idx="14">
                  <c:v>21791.52994238161</c:v>
                </c:pt>
                <c:pt idx="15">
                  <c:v>21852.995125467281</c:v>
                </c:pt>
                <c:pt idx="16">
                  <c:v>21972.652349637923</c:v>
                </c:pt>
                <c:pt idx="17">
                  <c:v>22146.368606914755</c:v>
                </c:pt>
                <c:pt idx="18">
                  <c:v>22370.508732812425</c:v>
                </c:pt>
                <c:pt idx="19">
                  <c:v>22968.529477263186</c:v>
                </c:pt>
                <c:pt idx="20">
                  <c:v>29237.065552754571</c:v>
                </c:pt>
                <c:pt idx="21">
                  <c:v>35505.60162824596</c:v>
                </c:pt>
                <c:pt idx="22">
                  <c:v>41774.137703737346</c:v>
                </c:pt>
                <c:pt idx="23">
                  <c:v>48042.673779228731</c:v>
                </c:pt>
                <c:pt idx="24">
                  <c:v>54311.209854720146</c:v>
                </c:pt>
                <c:pt idx="25">
                  <c:v>60579.745930211531</c:v>
                </c:pt>
              </c:numCache>
            </c:numRef>
          </c:yVal>
          <c:smooth val="1"/>
        </c:ser>
        <c:ser>
          <c:idx val="0"/>
          <c:order val="10"/>
          <c:tx>
            <c:v>Drag h=35000 ft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'h=35000'!$L$2:$L$30</c:f>
              <c:numCache>
                <c:formatCode>0.000</c:formatCode>
                <c:ptCount val="29"/>
                <c:pt idx="0">
                  <c:v>0.51126844676915473</c:v>
                </c:pt>
                <c:pt idx="1">
                  <c:v>0.5315006668042056</c:v>
                </c:pt>
                <c:pt idx="2">
                  <c:v>0.55173288683925648</c:v>
                </c:pt>
                <c:pt idx="3">
                  <c:v>0.57196510687430735</c:v>
                </c:pt>
                <c:pt idx="4">
                  <c:v>0.59219732690935822</c:v>
                </c:pt>
                <c:pt idx="5">
                  <c:v>0.6124295469444091</c:v>
                </c:pt>
                <c:pt idx="6">
                  <c:v>0.63266176697945997</c:v>
                </c:pt>
                <c:pt idx="7">
                  <c:v>0.65289398701451085</c:v>
                </c:pt>
                <c:pt idx="8">
                  <c:v>0.67312620704956172</c:v>
                </c:pt>
                <c:pt idx="9">
                  <c:v>0.69335842708461259</c:v>
                </c:pt>
                <c:pt idx="10">
                  <c:v>0.71359064711966358</c:v>
                </c:pt>
                <c:pt idx="11">
                  <c:v>0.73382286715471445</c:v>
                </c:pt>
                <c:pt idx="12">
                  <c:v>0.75405508718976533</c:v>
                </c:pt>
                <c:pt idx="13">
                  <c:v>0.7742873072248162</c:v>
                </c:pt>
                <c:pt idx="14">
                  <c:v>0.79451952725986708</c:v>
                </c:pt>
                <c:pt idx="15">
                  <c:v>0.81475174729491795</c:v>
                </c:pt>
                <c:pt idx="16">
                  <c:v>0.83498396732996882</c:v>
                </c:pt>
                <c:pt idx="17">
                  <c:v>0.8552161873650197</c:v>
                </c:pt>
                <c:pt idx="18">
                  <c:v>0.87544840740007068</c:v>
                </c:pt>
                <c:pt idx="19">
                  <c:v>0.89568062743512156</c:v>
                </c:pt>
                <c:pt idx="20">
                  <c:v>0.91591284747017243</c:v>
                </c:pt>
                <c:pt idx="21">
                  <c:v>0.93614506750522331</c:v>
                </c:pt>
                <c:pt idx="22">
                  <c:v>0.95637728754027418</c:v>
                </c:pt>
                <c:pt idx="23">
                  <c:v>0.97660950757532505</c:v>
                </c:pt>
                <c:pt idx="24">
                  <c:v>0.99684172761037593</c:v>
                </c:pt>
                <c:pt idx="25">
                  <c:v>1.0170739476454269</c:v>
                </c:pt>
                <c:pt idx="26">
                  <c:v>1.0373061676804778</c:v>
                </c:pt>
                <c:pt idx="27">
                  <c:v>1.0575383877155287</c:v>
                </c:pt>
                <c:pt idx="28">
                  <c:v>1.0777706077505795</c:v>
                </c:pt>
              </c:numCache>
            </c:numRef>
          </c:xVal>
          <c:yVal>
            <c:numRef>
              <c:f>'h=35000'!$I$2:$I$30</c:f>
              <c:numCache>
                <c:formatCode>0.0</c:formatCode>
                <c:ptCount val="29"/>
                <c:pt idx="0">
                  <c:v>31782.10070001987</c:v>
                </c:pt>
                <c:pt idx="1">
                  <c:v>30079.810009909765</c:v>
                </c:pt>
                <c:pt idx="2">
                  <c:v>28612.514181559138</c:v>
                </c:pt>
                <c:pt idx="3">
                  <c:v>27349.438834897632</c:v>
                </c:pt>
                <c:pt idx="4">
                  <c:v>26264.975090300508</c:v>
                </c:pt>
                <c:pt idx="5">
                  <c:v>25337.673010642651</c:v>
                </c:pt>
                <c:pt idx="6">
                  <c:v>24549.456656731771</c:v>
                </c:pt>
                <c:pt idx="7">
                  <c:v>23885.006697827437</c:v>
                </c:pt>
                <c:pt idx="8">
                  <c:v>23331.270913745844</c:v>
                </c:pt>
                <c:pt idx="9">
                  <c:v>22877.073183530098</c:v>
                </c:pt>
                <c:pt idx="10">
                  <c:v>22512.798948649805</c:v>
                </c:pt>
                <c:pt idx="11">
                  <c:v>22230.140522662408</c:v>
                </c:pt>
                <c:pt idx="12">
                  <c:v>22021.889578837821</c:v>
                </c:pt>
                <c:pt idx="13">
                  <c:v>21881.76708623828</c:v>
                </c:pt>
                <c:pt idx="14">
                  <c:v>21804.283165232024</c:v>
                </c:pt>
                <c:pt idx="15">
                  <c:v>21784.620994514269</c:v>
                </c:pt>
                <c:pt idx="16">
                  <c:v>21818.540165366674</c:v>
                </c:pt>
                <c:pt idx="17">
                  <c:v>21902.295847257537</c:v>
                </c:pt>
                <c:pt idx="18">
                  <c:v>22032.570876135869</c:v>
                </c:pt>
                <c:pt idx="19">
                  <c:v>22206.418457200467</c:v>
                </c:pt>
                <c:pt idx="20">
                  <c:v>22421.213627601639</c:v>
                </c:pt>
                <c:pt idx="21">
                  <c:v>22674.611981253944</c:v>
                </c:pt>
                <c:pt idx="22">
                  <c:v>22964.514440017894</c:v>
                </c:pt>
                <c:pt idx="23">
                  <c:v>23289.037079774305</c:v>
                </c:pt>
                <c:pt idx="24">
                  <c:v>23646.485199139104</c:v>
                </c:pt>
                <c:pt idx="25">
                  <c:v>24035.330962502994</c:v>
                </c:pt>
                <c:pt idx="26">
                  <c:v>24454.194065224747</c:v>
                </c:pt>
                <c:pt idx="27">
                  <c:v>24901.824962949526</c:v>
                </c:pt>
                <c:pt idx="28">
                  <c:v>25377.090283664089</c:v>
                </c:pt>
              </c:numCache>
            </c:numRef>
          </c:yVal>
          <c:smooth val="1"/>
        </c:ser>
        <c:ser>
          <c:idx val="1"/>
          <c:order val="11"/>
          <c:tx>
            <c:v>Drag 35000 Compr</c:v>
          </c:tx>
          <c:spPr>
            <a:ln>
              <a:prstDash val="sysDash"/>
            </a:ln>
          </c:spPr>
          <c:marker>
            <c:symbol val="none"/>
          </c:marker>
          <c:xVal>
            <c:numRef>
              <c:f>'h=35000'!$L$2:$L$30</c:f>
              <c:numCache>
                <c:formatCode>0.000</c:formatCode>
                <c:ptCount val="29"/>
                <c:pt idx="0">
                  <c:v>0.51126844676915473</c:v>
                </c:pt>
                <c:pt idx="1">
                  <c:v>0.5315006668042056</c:v>
                </c:pt>
                <c:pt idx="2">
                  <c:v>0.55173288683925648</c:v>
                </c:pt>
                <c:pt idx="3">
                  <c:v>0.57196510687430735</c:v>
                </c:pt>
                <c:pt idx="4">
                  <c:v>0.59219732690935822</c:v>
                </c:pt>
                <c:pt idx="5">
                  <c:v>0.6124295469444091</c:v>
                </c:pt>
                <c:pt idx="6">
                  <c:v>0.63266176697945997</c:v>
                </c:pt>
                <c:pt idx="7">
                  <c:v>0.65289398701451085</c:v>
                </c:pt>
                <c:pt idx="8">
                  <c:v>0.67312620704956172</c:v>
                </c:pt>
                <c:pt idx="9">
                  <c:v>0.69335842708461259</c:v>
                </c:pt>
                <c:pt idx="10">
                  <c:v>0.71359064711966358</c:v>
                </c:pt>
                <c:pt idx="11">
                  <c:v>0.73382286715471445</c:v>
                </c:pt>
                <c:pt idx="12">
                  <c:v>0.75405508718976533</c:v>
                </c:pt>
                <c:pt idx="13">
                  <c:v>0.7742873072248162</c:v>
                </c:pt>
                <c:pt idx="14">
                  <c:v>0.79451952725986708</c:v>
                </c:pt>
                <c:pt idx="15">
                  <c:v>0.81475174729491795</c:v>
                </c:pt>
                <c:pt idx="16">
                  <c:v>0.83498396732996882</c:v>
                </c:pt>
                <c:pt idx="17">
                  <c:v>0.8552161873650197</c:v>
                </c:pt>
                <c:pt idx="18">
                  <c:v>0.87544840740007068</c:v>
                </c:pt>
                <c:pt idx="19">
                  <c:v>0.89568062743512156</c:v>
                </c:pt>
                <c:pt idx="20">
                  <c:v>0.91591284747017243</c:v>
                </c:pt>
                <c:pt idx="21">
                  <c:v>0.93614506750522331</c:v>
                </c:pt>
                <c:pt idx="22">
                  <c:v>0.95637728754027418</c:v>
                </c:pt>
                <c:pt idx="23">
                  <c:v>0.97660950757532505</c:v>
                </c:pt>
                <c:pt idx="24">
                  <c:v>0.99684172761037593</c:v>
                </c:pt>
                <c:pt idx="25">
                  <c:v>1.0170739476454269</c:v>
                </c:pt>
                <c:pt idx="26">
                  <c:v>1.0373061676804778</c:v>
                </c:pt>
                <c:pt idx="27">
                  <c:v>1.0575383877155287</c:v>
                </c:pt>
                <c:pt idx="28">
                  <c:v>1.0777706077505795</c:v>
                </c:pt>
              </c:numCache>
            </c:numRef>
          </c:xVal>
          <c:yVal>
            <c:numRef>
              <c:f>'h=35000'!$U$2:$U$22</c:f>
              <c:numCache>
                <c:formatCode>General</c:formatCode>
                <c:ptCount val="21"/>
                <c:pt idx="0">
                  <c:v>31782.10070001987</c:v>
                </c:pt>
                <c:pt idx="1">
                  <c:v>30079.810009909765</c:v>
                </c:pt>
                <c:pt idx="2">
                  <c:v>28612.514181559138</c:v>
                </c:pt>
                <c:pt idx="3">
                  <c:v>27349.438834897632</c:v>
                </c:pt>
                <c:pt idx="4">
                  <c:v>26264.975090300508</c:v>
                </c:pt>
                <c:pt idx="5">
                  <c:v>25337.673010642651</c:v>
                </c:pt>
                <c:pt idx="6">
                  <c:v>24549.456656731771</c:v>
                </c:pt>
                <c:pt idx="7">
                  <c:v>23885.006697827437</c:v>
                </c:pt>
                <c:pt idx="8">
                  <c:v>23331.270913745844</c:v>
                </c:pt>
                <c:pt idx="9">
                  <c:v>22877.073183530098</c:v>
                </c:pt>
                <c:pt idx="10">
                  <c:v>22512.798948649805</c:v>
                </c:pt>
                <c:pt idx="11">
                  <c:v>22230.140522662408</c:v>
                </c:pt>
                <c:pt idx="12">
                  <c:v>22021.889578837821</c:v>
                </c:pt>
                <c:pt idx="13">
                  <c:v>21881.76708623828</c:v>
                </c:pt>
                <c:pt idx="14">
                  <c:v>21804.283165232024</c:v>
                </c:pt>
                <c:pt idx="15">
                  <c:v>21784.620994514269</c:v>
                </c:pt>
                <c:pt idx="16">
                  <c:v>23326.906779859062</c:v>
                </c:pt>
                <c:pt idx="17">
                  <c:v>29503.316023354855</c:v>
                </c:pt>
                <c:pt idx="18">
                  <c:v>35679.725266850677</c:v>
                </c:pt>
                <c:pt idx="19">
                  <c:v>41856.13451034647</c:v>
                </c:pt>
                <c:pt idx="20">
                  <c:v>48032.543753842256</c:v>
                </c:pt>
              </c:numCache>
            </c:numRef>
          </c:yVal>
          <c:smooth val="1"/>
        </c:ser>
        <c:ser>
          <c:idx val="2"/>
          <c:order val="12"/>
          <c:tx>
            <c:v>Td 35000ft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'h=35000'!$L$2:$L$30</c:f>
              <c:numCache>
                <c:formatCode>0.000</c:formatCode>
                <c:ptCount val="29"/>
                <c:pt idx="0">
                  <c:v>0.51126844676915473</c:v>
                </c:pt>
                <c:pt idx="1">
                  <c:v>0.5315006668042056</c:v>
                </c:pt>
                <c:pt idx="2">
                  <c:v>0.55173288683925648</c:v>
                </c:pt>
                <c:pt idx="3">
                  <c:v>0.57196510687430735</c:v>
                </c:pt>
                <c:pt idx="4">
                  <c:v>0.59219732690935822</c:v>
                </c:pt>
                <c:pt idx="5">
                  <c:v>0.6124295469444091</c:v>
                </c:pt>
                <c:pt idx="6">
                  <c:v>0.63266176697945997</c:v>
                </c:pt>
                <c:pt idx="7">
                  <c:v>0.65289398701451085</c:v>
                </c:pt>
                <c:pt idx="8">
                  <c:v>0.67312620704956172</c:v>
                </c:pt>
                <c:pt idx="9">
                  <c:v>0.69335842708461259</c:v>
                </c:pt>
                <c:pt idx="10">
                  <c:v>0.71359064711966358</c:v>
                </c:pt>
                <c:pt idx="11">
                  <c:v>0.73382286715471445</c:v>
                </c:pt>
                <c:pt idx="12">
                  <c:v>0.75405508718976533</c:v>
                </c:pt>
                <c:pt idx="13">
                  <c:v>0.7742873072248162</c:v>
                </c:pt>
                <c:pt idx="14">
                  <c:v>0.79451952725986708</c:v>
                </c:pt>
                <c:pt idx="15">
                  <c:v>0.81475174729491795</c:v>
                </c:pt>
                <c:pt idx="16">
                  <c:v>0.83498396732996882</c:v>
                </c:pt>
                <c:pt idx="17">
                  <c:v>0.8552161873650197</c:v>
                </c:pt>
                <c:pt idx="18">
                  <c:v>0.87544840740007068</c:v>
                </c:pt>
                <c:pt idx="19">
                  <c:v>0.89568062743512156</c:v>
                </c:pt>
                <c:pt idx="20">
                  <c:v>0.91591284747017243</c:v>
                </c:pt>
                <c:pt idx="21">
                  <c:v>0.93614506750522331</c:v>
                </c:pt>
                <c:pt idx="22">
                  <c:v>0.95637728754027418</c:v>
                </c:pt>
                <c:pt idx="23">
                  <c:v>0.97660950757532505</c:v>
                </c:pt>
                <c:pt idx="24">
                  <c:v>0.99684172761037593</c:v>
                </c:pt>
                <c:pt idx="25">
                  <c:v>1.0170739476454269</c:v>
                </c:pt>
                <c:pt idx="26">
                  <c:v>1.0373061676804778</c:v>
                </c:pt>
                <c:pt idx="27">
                  <c:v>1.0575383877155287</c:v>
                </c:pt>
                <c:pt idx="28">
                  <c:v>1.0777706077505795</c:v>
                </c:pt>
              </c:numCache>
            </c:numRef>
          </c:xVal>
          <c:yVal>
            <c:numRef>
              <c:f>'h=35000'!$M$2:$M$30</c:f>
              <c:numCache>
                <c:formatCode>General</c:formatCode>
                <c:ptCount val="29"/>
                <c:pt idx="0">
                  <c:v>25762.637290192866</c:v>
                </c:pt>
                <c:pt idx="1">
                  <c:v>25762.637290192866</c:v>
                </c:pt>
                <c:pt idx="2">
                  <c:v>25762.637290192866</c:v>
                </c:pt>
                <c:pt idx="3">
                  <c:v>25762.637290192866</c:v>
                </c:pt>
                <c:pt idx="4">
                  <c:v>25762.637290192866</c:v>
                </c:pt>
                <c:pt idx="5">
                  <c:v>25762.637290192866</c:v>
                </c:pt>
                <c:pt idx="6">
                  <c:v>25762.637290192866</c:v>
                </c:pt>
                <c:pt idx="7">
                  <c:v>25762.637290192866</c:v>
                </c:pt>
                <c:pt idx="8">
                  <c:v>25762.637290192866</c:v>
                </c:pt>
                <c:pt idx="9">
                  <c:v>25762.637290192866</c:v>
                </c:pt>
                <c:pt idx="10">
                  <c:v>25762.637290192866</c:v>
                </c:pt>
                <c:pt idx="11">
                  <c:v>25762.637290192866</c:v>
                </c:pt>
                <c:pt idx="12">
                  <c:v>25762.637290192866</c:v>
                </c:pt>
                <c:pt idx="13">
                  <c:v>25762.637290192866</c:v>
                </c:pt>
                <c:pt idx="14">
                  <c:v>25762.637290192866</c:v>
                </c:pt>
                <c:pt idx="15">
                  <c:v>25762.637290192866</c:v>
                </c:pt>
                <c:pt idx="16">
                  <c:v>25762.637290192866</c:v>
                </c:pt>
                <c:pt idx="17">
                  <c:v>25762.637290192866</c:v>
                </c:pt>
                <c:pt idx="18">
                  <c:v>25762.637290192866</c:v>
                </c:pt>
                <c:pt idx="19">
                  <c:v>25762.637290192866</c:v>
                </c:pt>
                <c:pt idx="20">
                  <c:v>25762.637290192866</c:v>
                </c:pt>
                <c:pt idx="21">
                  <c:v>25762.637290192866</c:v>
                </c:pt>
                <c:pt idx="22">
                  <c:v>25762.637290192866</c:v>
                </c:pt>
                <c:pt idx="23">
                  <c:v>25762.637290192866</c:v>
                </c:pt>
                <c:pt idx="24">
                  <c:v>25762.637290192866</c:v>
                </c:pt>
                <c:pt idx="25">
                  <c:v>25762.637290192866</c:v>
                </c:pt>
                <c:pt idx="26">
                  <c:v>25762.637290192866</c:v>
                </c:pt>
                <c:pt idx="27">
                  <c:v>25762.637290192866</c:v>
                </c:pt>
                <c:pt idx="28">
                  <c:v>25762.637290192866</c:v>
                </c:pt>
              </c:numCache>
            </c:numRef>
          </c:yVal>
          <c:smooth val="1"/>
        </c:ser>
        <c:axId val="104940288"/>
        <c:axId val="104941824"/>
      </c:scatterChart>
      <c:valAx>
        <c:axId val="104940288"/>
        <c:scaling>
          <c:orientation val="minMax"/>
          <c:max val="1.1000000000000001"/>
          <c:min val="0.70000000000000007"/>
        </c:scaling>
        <c:axPos val="b"/>
        <c:majorGridlines/>
        <c:numFmt formatCode="0.00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04941824"/>
        <c:crosses val="autoZero"/>
        <c:crossBetween val="midCat"/>
        <c:majorUnit val="2.0000000000000004E-2"/>
      </c:valAx>
      <c:valAx>
        <c:axId val="104941824"/>
        <c:scaling>
          <c:orientation val="minMax"/>
          <c:max val="60000"/>
          <c:min val="20000"/>
        </c:scaling>
        <c:axPos val="l"/>
        <c:majorGridlines/>
        <c:numFmt formatCode="0.0" sourceLinked="1"/>
        <c:tickLblPos val="nextTo"/>
        <c:crossAx val="1049402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5987410105925524"/>
          <c:y val="0.11922461499541476"/>
          <c:w val="0.23267548658148671"/>
          <c:h val="0.62939189830186915"/>
        </c:manualLayout>
      </c:layout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4734336"/>
        <c:axId val="64735872"/>
      </c:scatterChart>
      <c:valAx>
        <c:axId val="6473433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4735872"/>
        <c:crosses val="autoZero"/>
        <c:crossBetween val="midCat"/>
      </c:valAx>
      <c:valAx>
        <c:axId val="647358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4734336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1394304"/>
        <c:axId val="61543552"/>
      </c:scatterChart>
      <c:valAx>
        <c:axId val="6139430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543552"/>
        <c:crosses val="autoZero"/>
        <c:crossBetween val="midCat"/>
      </c:valAx>
      <c:valAx>
        <c:axId val="615435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394304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4780160"/>
        <c:axId val="64781696"/>
      </c:scatterChart>
      <c:valAx>
        <c:axId val="6478016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4781696"/>
        <c:crosses val="autoZero"/>
        <c:crossBetween val="midCat"/>
      </c:valAx>
      <c:valAx>
        <c:axId val="647816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4780160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2853855005753735E-2"/>
          <c:y val="6.6790352504638217E-2"/>
          <c:w val="0.73532796317606441"/>
          <c:h val="0.79777365491651209"/>
        </c:manualLayout>
      </c:layout>
      <c:scatterChart>
        <c:scatterStyle val="smoothMarker"/>
        <c:ser>
          <c:idx val="1"/>
          <c:order val="0"/>
          <c:tx>
            <c:strRef>
              <c:f>SL!$C$44</c:f>
              <c:strCache>
                <c:ptCount val="1"/>
                <c:pt idx="0">
                  <c:v>CD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dPt>
            <c:idx val="11"/>
            <c:marker>
              <c:symbol val="square"/>
              <c:size val="3"/>
              <c:spPr>
                <a:solidFill>
                  <a:srgbClr val="000000"/>
                </a:solidFill>
                <a:ln w="9525">
                  <a:noFill/>
                </a:ln>
              </c:spPr>
            </c:marker>
          </c:dPt>
          <c:xVal>
            <c:numRef>
              <c:f>SL!$E$45:$E$63</c:f>
              <c:numCache>
                <c:formatCode>General</c:formatCode>
                <c:ptCount val="19"/>
                <c:pt idx="0">
                  <c:v>1.7999999999999999E-2</c:v>
                </c:pt>
                <c:pt idx="1">
                  <c:v>1.8508557420370737E-2</c:v>
                </c:pt>
                <c:pt idx="2">
                  <c:v>2.0034229681482951E-2</c:v>
                </c:pt>
                <c:pt idx="3">
                  <c:v>2.2577016783336644E-2</c:v>
                </c:pt>
                <c:pt idx="4">
                  <c:v>2.613691872593181E-2</c:v>
                </c:pt>
                <c:pt idx="5">
                  <c:v>3.0713935509268455E-2</c:v>
                </c:pt>
                <c:pt idx="6">
                  <c:v>3.6308067133346576E-2</c:v>
                </c:pt>
                <c:pt idx="7">
                  <c:v>4.291931359816617E-2</c:v>
                </c:pt>
                <c:pt idx="8">
                  <c:v>5.0547674903727247E-2</c:v>
                </c:pt>
                <c:pt idx="9">
                  <c:v>5.9193151050029785E-2</c:v>
                </c:pt>
                <c:pt idx="10">
                  <c:v>6.8855742037073814E-2</c:v>
                </c:pt>
                <c:pt idx="11">
                  <c:v>7.9535447864859318E-2</c:v>
                </c:pt>
                <c:pt idx="12">
                  <c:v>9.1232268533386313E-2</c:v>
                </c:pt>
                <c:pt idx="13">
                  <c:v>0.10394620404265477</c:v>
                </c:pt>
                <c:pt idx="14">
                  <c:v>0.11767725439266472</c:v>
                </c:pt>
                <c:pt idx="15">
                  <c:v>0.13242541958341614</c:v>
                </c:pt>
                <c:pt idx="16">
                  <c:v>0.14819069961490902</c:v>
                </c:pt>
                <c:pt idx="17">
                  <c:v>0.16497309448714342</c:v>
                </c:pt>
                <c:pt idx="18">
                  <c:v>0.18277260420011926</c:v>
                </c:pt>
              </c:numCache>
            </c:numRef>
          </c:xVal>
          <c:yVal>
            <c:numRef>
              <c:f>SL!$B$45:$B$63</c:f>
              <c:numCache>
                <c:formatCode>General</c:formatCode>
                <c:ptCount val="19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SL!$I$40</c:f>
              <c:numCache>
                <c:formatCode>General</c:formatCode>
                <c:ptCount val="1"/>
                <c:pt idx="0">
                  <c:v>7.2000000000000008E-2</c:v>
                </c:pt>
              </c:numCache>
            </c:numRef>
          </c:xVal>
          <c:yVal>
            <c:numRef>
              <c:f>SL!$D$40</c:f>
              <c:numCache>
                <c:formatCode>General</c:formatCode>
                <c:ptCount val="1"/>
                <c:pt idx="0">
                  <c:v>1.0304499017419528</c:v>
                </c:pt>
              </c:numCache>
            </c:numRef>
          </c:yVal>
          <c:smooth val="1"/>
        </c:ser>
        <c:axId val="61444480"/>
        <c:axId val="61446016"/>
      </c:scatterChart>
      <c:valAx>
        <c:axId val="6144448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446016"/>
        <c:crosses val="autoZero"/>
        <c:crossBetween val="midCat"/>
      </c:valAx>
      <c:valAx>
        <c:axId val="614460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1444480"/>
        <c:crosses val="autoZero"/>
        <c:crossBetween val="midCat"/>
        <c:majorUnit val="0.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91024165707708"/>
          <c:y val="0.4007421150278293"/>
          <c:w val="0.12888377445339472"/>
          <c:h val="0.131725417439703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0.xml"/><Relationship Id="rId3" Type="http://schemas.openxmlformats.org/officeDocument/2006/relationships/chart" Target="../charts/chart15.xml"/><Relationship Id="rId7" Type="http://schemas.openxmlformats.org/officeDocument/2006/relationships/chart" Target="../charts/chart19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11" Type="http://schemas.openxmlformats.org/officeDocument/2006/relationships/chart" Target="../charts/chart23.xml"/><Relationship Id="rId5" Type="http://schemas.openxmlformats.org/officeDocument/2006/relationships/chart" Target="../charts/chart17.xml"/><Relationship Id="rId10" Type="http://schemas.openxmlformats.org/officeDocument/2006/relationships/chart" Target="../charts/chart22.xml"/><Relationship Id="rId4" Type="http://schemas.openxmlformats.org/officeDocument/2006/relationships/chart" Target="../charts/chart16.xml"/><Relationship Id="rId9" Type="http://schemas.openxmlformats.org/officeDocument/2006/relationships/chart" Target="../charts/chart21.xml"/></Relationships>
</file>

<file path=xl/drawings/_rels/drawing2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1.xml"/><Relationship Id="rId3" Type="http://schemas.openxmlformats.org/officeDocument/2006/relationships/chart" Target="../charts/chart26.xml"/><Relationship Id="rId7" Type="http://schemas.openxmlformats.org/officeDocument/2006/relationships/chart" Target="../charts/chart30.xml"/><Relationship Id="rId2" Type="http://schemas.openxmlformats.org/officeDocument/2006/relationships/chart" Target="../charts/chart25.xml"/><Relationship Id="rId1" Type="http://schemas.openxmlformats.org/officeDocument/2006/relationships/chart" Target="../charts/chart24.xml"/><Relationship Id="rId6" Type="http://schemas.openxmlformats.org/officeDocument/2006/relationships/chart" Target="../charts/chart29.xml"/><Relationship Id="rId5" Type="http://schemas.openxmlformats.org/officeDocument/2006/relationships/chart" Target="../charts/chart28.xml"/><Relationship Id="rId10" Type="http://schemas.openxmlformats.org/officeDocument/2006/relationships/chart" Target="../charts/chart33.xml"/><Relationship Id="rId4" Type="http://schemas.openxmlformats.org/officeDocument/2006/relationships/chart" Target="../charts/chart27.xml"/><Relationship Id="rId9" Type="http://schemas.openxmlformats.org/officeDocument/2006/relationships/chart" Target="../charts/chart3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6.xml"/><Relationship Id="rId2" Type="http://schemas.openxmlformats.org/officeDocument/2006/relationships/chart" Target="../charts/chart35.xml"/><Relationship Id="rId1" Type="http://schemas.openxmlformats.org/officeDocument/2006/relationships/chart" Target="../charts/chart34.xml"/></Relationships>
</file>

<file path=xl/drawings/_rels/drawing4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Relationship Id="rId6" Type="http://schemas.openxmlformats.org/officeDocument/2006/relationships/chart" Target="../charts/chart42.xml"/><Relationship Id="rId5" Type="http://schemas.openxmlformats.org/officeDocument/2006/relationships/chart" Target="../charts/chart41.xml"/><Relationship Id="rId4" Type="http://schemas.openxmlformats.org/officeDocument/2006/relationships/chart" Target="../charts/chart40.xml"/></Relationships>
</file>

<file path=xl/drawings/_rels/drawing4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0.xml"/><Relationship Id="rId3" Type="http://schemas.openxmlformats.org/officeDocument/2006/relationships/chart" Target="../charts/chart45.xml"/><Relationship Id="rId7" Type="http://schemas.openxmlformats.org/officeDocument/2006/relationships/chart" Target="../charts/chart49.xml"/><Relationship Id="rId2" Type="http://schemas.openxmlformats.org/officeDocument/2006/relationships/chart" Target="../charts/chart44.xml"/><Relationship Id="rId1" Type="http://schemas.openxmlformats.org/officeDocument/2006/relationships/chart" Target="../charts/chart43.xml"/><Relationship Id="rId6" Type="http://schemas.openxmlformats.org/officeDocument/2006/relationships/chart" Target="../charts/chart48.xml"/><Relationship Id="rId11" Type="http://schemas.openxmlformats.org/officeDocument/2006/relationships/chart" Target="../charts/chart53.xml"/><Relationship Id="rId5" Type="http://schemas.openxmlformats.org/officeDocument/2006/relationships/chart" Target="../charts/chart47.xml"/><Relationship Id="rId10" Type="http://schemas.openxmlformats.org/officeDocument/2006/relationships/chart" Target="../charts/chart52.xml"/><Relationship Id="rId4" Type="http://schemas.openxmlformats.org/officeDocument/2006/relationships/chart" Target="../charts/chart46.xml"/><Relationship Id="rId9" Type="http://schemas.openxmlformats.org/officeDocument/2006/relationships/chart" Target="../charts/chart51.xml"/></Relationships>
</file>

<file path=xl/drawings/_rels/drawing5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5.xml"/><Relationship Id="rId1" Type="http://schemas.openxmlformats.org/officeDocument/2006/relationships/chart" Target="../charts/chart54.xm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.xml"/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2060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32769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32770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32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3379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3379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3379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34817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3481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348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53249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53250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53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5427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5427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5427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55297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552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552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744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744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744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744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7444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7445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7446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7447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7448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7449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17</xdr:col>
      <xdr:colOff>47625</xdr:colOff>
      <xdr:row>2</xdr:row>
      <xdr:rowOff>76199</xdr:rowOff>
    </xdr:from>
    <xdr:to>
      <xdr:col>26</xdr:col>
      <xdr:colOff>127000</xdr:colOff>
      <xdr:row>24</xdr:row>
      <xdr:rowOff>136524</xdr:rowOff>
    </xdr:to>
    <xdr:graphicFrame macro="">
      <xdr:nvGraphicFramePr>
        <xdr:cNvPr id="17450" name="Gra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1843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184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184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19457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1945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1945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25601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256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0.54449</cdr:x>
      <cdr:y>0.34934</cdr:y>
    </cdr:from>
    <cdr:to>
      <cdr:x>0.65571</cdr:x>
      <cdr:y>0.49436</cdr:y>
    </cdr:to>
    <cdr:sp macro="" textlink="">
      <cdr:nvSpPr>
        <cdr:cNvPr id="4097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72270" y="1800019"/>
          <a:ext cx="933331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0.0818</cdr:x>
      <cdr:y>0.19157</cdr:y>
    </cdr:from>
    <cdr:to>
      <cdr:x>0.44043</cdr:x>
      <cdr:y>0.85971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613" y="988512"/>
          <a:ext cx="3009474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0.35986</cdr:x>
      <cdr:y>0.39155</cdr:y>
    </cdr:from>
    <cdr:to>
      <cdr:x>0.39051</cdr:x>
      <cdr:y>0.45829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2941" y="2017093"/>
          <a:ext cx="257184" cy="3432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25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26625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26626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266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35841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3584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36865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36866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37889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37890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378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56321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5632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57345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57346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5734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58369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58370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583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2051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2051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2051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2051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20515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20516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20517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20518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20519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20520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21505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21506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215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22529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22530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2253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9226" name="Chart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9227" name="Chart 10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9228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27649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27650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276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2867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2867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2867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3891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389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3891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39937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3993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399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40961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4096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4096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5939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5939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5939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60417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6041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604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37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61441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614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6144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555625</xdr:colOff>
      <xdr:row>73</xdr:row>
      <xdr:rowOff>127000</xdr:rowOff>
    </xdr:from>
    <xdr:to>
      <xdr:col>35</xdr:col>
      <xdr:colOff>298450</xdr:colOff>
      <xdr:row>105</xdr:row>
      <xdr:rowOff>79375</xdr:rowOff>
    </xdr:to>
    <xdr:graphicFrame macro="">
      <xdr:nvGraphicFramePr>
        <xdr:cNvPr id="4200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266700</xdr:colOff>
      <xdr:row>35</xdr:row>
      <xdr:rowOff>190500</xdr:rowOff>
    </xdr:from>
    <xdr:to>
      <xdr:col>25</xdr:col>
      <xdr:colOff>406399</xdr:colOff>
      <xdr:row>65</xdr:row>
      <xdr:rowOff>63500</xdr:rowOff>
    </xdr:to>
    <xdr:graphicFrame macro="">
      <xdr:nvGraphicFramePr>
        <xdr:cNvPr id="42010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533400</xdr:colOff>
      <xdr:row>35</xdr:row>
      <xdr:rowOff>190500</xdr:rowOff>
    </xdr:from>
    <xdr:to>
      <xdr:col>34</xdr:col>
      <xdr:colOff>520699</xdr:colOff>
      <xdr:row>65</xdr:row>
      <xdr:rowOff>63500</xdr:rowOff>
    </xdr:to>
    <xdr:graphicFrame macro="">
      <xdr:nvGraphicFramePr>
        <xdr:cNvPr id="9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9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45057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4505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4505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10241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102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1024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4609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4610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4610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4610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46103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46104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1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47105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47106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47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48129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48130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4813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43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4915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4915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49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44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65537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6553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655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45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66561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6656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6656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46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67585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67586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67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129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129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130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1301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130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1303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1304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1305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1306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1307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1308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48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12289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12290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122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49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2355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2355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235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1331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133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1331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50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24577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2457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51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29697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296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296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52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30721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3072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30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53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50177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5017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501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54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51201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512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55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52225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52226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522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56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68609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68610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6861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57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6963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696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696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58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70657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7065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7065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114301</xdr:colOff>
      <xdr:row>1</xdr:row>
      <xdr:rowOff>9525</xdr:rowOff>
    </xdr:from>
    <xdr:to>
      <xdr:col>11</xdr:col>
      <xdr:colOff>581025</xdr:colOff>
      <xdr:row>30</xdr:row>
      <xdr:rowOff>57150</xdr:rowOff>
    </xdr:to>
    <xdr:graphicFrame macro="">
      <xdr:nvGraphicFramePr>
        <xdr:cNvPr id="2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561974</xdr:colOff>
      <xdr:row>31</xdr:row>
      <xdr:rowOff>95250</xdr:rowOff>
    </xdr:from>
    <xdr:to>
      <xdr:col>12</xdr:col>
      <xdr:colOff>552449</xdr:colOff>
      <xdr:row>60</xdr:row>
      <xdr:rowOff>142875</xdr:rowOff>
    </xdr:to>
    <xdr:graphicFrame macro="">
      <xdr:nvGraphicFramePr>
        <xdr:cNvPr id="3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31745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31746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3174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60.xml><?xml version="1.0" encoding="utf-8"?>
<c:userShapes xmlns:c="http://schemas.openxmlformats.org/drawingml/2006/chart">
  <cdr:relSizeAnchor xmlns:cdr="http://schemas.openxmlformats.org/drawingml/2006/chartDrawing">
    <cdr:from>
      <cdr:x>0.35724</cdr:x>
      <cdr:y>0.5743</cdr:y>
    </cdr:from>
    <cdr:to>
      <cdr:x>0.37158</cdr:x>
      <cdr:y>0.59839</cdr:y>
    </cdr:to>
    <cdr:sp macro="" textlink="">
      <cdr:nvSpPr>
        <cdr:cNvPr id="2" name="Ovale 1"/>
        <cdr:cNvSpPr/>
      </cdr:nvSpPr>
      <cdr:spPr bwMode="auto">
        <a:xfrm xmlns:a="http://schemas.openxmlformats.org/drawingml/2006/main">
          <a:off x="2609851" y="2724150"/>
          <a:ext cx="104775" cy="114300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vertOverflow="clip" wrap="square" lIns="18288" tIns="0" rIns="0" bIns="0" upright="1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0.37288</cdr:x>
      <cdr:y>0.63855</cdr:y>
    </cdr:from>
    <cdr:to>
      <cdr:x>0.38722</cdr:x>
      <cdr:y>0.66265</cdr:y>
    </cdr:to>
    <cdr:sp macro="" textlink="">
      <cdr:nvSpPr>
        <cdr:cNvPr id="3" name="Ovale 2"/>
        <cdr:cNvSpPr/>
      </cdr:nvSpPr>
      <cdr:spPr bwMode="auto">
        <a:xfrm xmlns:a="http://schemas.openxmlformats.org/drawingml/2006/main">
          <a:off x="2724150" y="3028950"/>
          <a:ext cx="104775" cy="114300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wrap="square" lIns="18288" tIns="0" rIns="0" bIns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0.35463</cdr:x>
      <cdr:y>0.75301</cdr:y>
    </cdr:from>
    <cdr:to>
      <cdr:x>0.36897</cdr:x>
      <cdr:y>0.77711</cdr:y>
    </cdr:to>
    <cdr:sp macro="" textlink="">
      <cdr:nvSpPr>
        <cdr:cNvPr id="4" name="Ovale 3"/>
        <cdr:cNvSpPr/>
      </cdr:nvSpPr>
      <cdr:spPr bwMode="auto">
        <a:xfrm xmlns:a="http://schemas.openxmlformats.org/drawingml/2006/main">
          <a:off x="2590800" y="3571875"/>
          <a:ext cx="104775" cy="114300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wrap="square" lIns="18288" tIns="0" rIns="0" bIns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it-IT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436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436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436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436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4365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4366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4367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26</xdr:col>
      <xdr:colOff>581025</xdr:colOff>
      <xdr:row>41</xdr:row>
      <xdr:rowOff>152400</xdr:rowOff>
    </xdr:from>
    <xdr:to>
      <xdr:col>40</xdr:col>
      <xdr:colOff>323850</xdr:colOff>
      <xdr:row>73</xdr:row>
      <xdr:rowOff>104775</xdr:rowOff>
    </xdr:to>
    <xdr:graphicFrame macro="">
      <xdr:nvGraphicFramePr>
        <xdr:cNvPr id="14368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15361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1536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1536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0.54325</cdr:x>
      <cdr:y>0.34934</cdr:y>
    </cdr:from>
    <cdr:to>
      <cdr:x>0.65421</cdr:x>
      <cdr:y>0.49436</cdr:y>
    </cdr:to>
    <cdr:sp macro="" textlink="">
      <cdr:nvSpPr>
        <cdr:cNvPr id="16385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4928" y="1800019"/>
          <a:ext cx="919496" cy="74587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0.08285</cdr:x>
      <cdr:y>0.19157</cdr:y>
    </cdr:from>
    <cdr:to>
      <cdr:x>0.4397</cdr:x>
      <cdr:y>0.85971</cdr:y>
    </cdr:to>
    <cdr:sp macro="" textlink="">
      <cdr:nvSpPr>
        <cdr:cNvPr id="16386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89737" y="988512"/>
          <a:ext cx="2957132" cy="34365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0.35963</cdr:x>
      <cdr:y>0.39155</cdr:y>
    </cdr:from>
    <cdr:to>
      <cdr:x>0.35963</cdr:x>
      <cdr:y>0.39155</cdr:y>
    </cdr:to>
    <cdr:sp macro="" textlink="">
      <cdr:nvSpPr>
        <cdr:cNvPr id="163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57" y="2017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36576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it-IT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cdr:txBody>
    </cdr:sp>
  </cdr:relSizeAnchor>
</c:userShape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0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9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63"/>
  <sheetViews>
    <sheetView zoomScale="75" workbookViewId="0">
      <selection activeCell="S34" sqref="S34"/>
    </sheetView>
  </sheetViews>
  <sheetFormatPr defaultRowHeight="12.75"/>
  <cols>
    <col min="1" max="1" width="6.7109375" customWidth="1"/>
    <col min="2" max="2" width="7.5703125" customWidth="1"/>
    <col min="3" max="3" width="8.7109375" customWidth="1"/>
    <col min="4" max="4" width="9.85546875" customWidth="1"/>
    <col min="6" max="6" width="7.5703125" customWidth="1"/>
    <col min="7" max="7" width="7.85546875" customWidth="1"/>
    <col min="8" max="8" width="6.28515625" customWidth="1"/>
    <col min="9" max="9" width="8.85546875" customWidth="1"/>
    <col min="10" max="10" width="8.140625" customWidth="1"/>
    <col min="11" max="11" width="8.5703125" customWidth="1"/>
    <col min="12" max="12" width="6.28515625" customWidth="1"/>
    <col min="13" max="14" width="6.85546875" customWidth="1"/>
    <col min="15" max="15" width="7.5703125" customWidth="1"/>
    <col min="16" max="16" width="9.42578125" customWidth="1"/>
    <col min="17" max="17" width="7" customWidth="1"/>
    <col min="18" max="18" width="7.5703125" customWidth="1"/>
    <col min="30" max="30" width="10.7109375" customWidth="1"/>
  </cols>
  <sheetData>
    <row r="1" spans="1:30" s="2" customFormat="1" ht="25.5" customHeight="1">
      <c r="A1" s="2" t="s">
        <v>2</v>
      </c>
      <c r="B1" s="2" t="s">
        <v>0</v>
      </c>
      <c r="C1" s="2" t="s">
        <v>1</v>
      </c>
      <c r="D1" s="2" t="s">
        <v>48</v>
      </c>
      <c r="E1" s="2" t="s">
        <v>49</v>
      </c>
      <c r="F1" s="2" t="s">
        <v>50</v>
      </c>
      <c r="G1" s="2" t="s">
        <v>51</v>
      </c>
      <c r="H1" s="2" t="s">
        <v>52</v>
      </c>
      <c r="I1" s="2" t="s">
        <v>53</v>
      </c>
      <c r="J1" s="2" t="s">
        <v>55</v>
      </c>
      <c r="K1" s="2" t="s">
        <v>56</v>
      </c>
      <c r="L1" s="2" t="s">
        <v>64</v>
      </c>
      <c r="M1" s="2" t="s">
        <v>65</v>
      </c>
      <c r="N1" s="2" t="s">
        <v>98</v>
      </c>
      <c r="O1" s="2" t="s">
        <v>66</v>
      </c>
      <c r="P1" s="2" t="s">
        <v>67</v>
      </c>
      <c r="Q1" s="2" t="s">
        <v>68</v>
      </c>
      <c r="R1" s="2" t="s">
        <v>69</v>
      </c>
      <c r="S1" s="2" t="s">
        <v>57</v>
      </c>
      <c r="T1" s="12" t="s">
        <v>85</v>
      </c>
      <c r="U1" s="12" t="s">
        <v>91</v>
      </c>
      <c r="V1" s="12" t="s">
        <v>93</v>
      </c>
      <c r="W1" s="12" t="s">
        <v>56</v>
      </c>
      <c r="X1" s="12" t="s">
        <v>67</v>
      </c>
      <c r="Y1" s="12" t="s">
        <v>68</v>
      </c>
      <c r="Z1" s="12" t="s">
        <v>69</v>
      </c>
      <c r="AA1" s="12" t="s">
        <v>57</v>
      </c>
      <c r="AC1" s="2" t="s">
        <v>95</v>
      </c>
      <c r="AD1" s="2" t="s">
        <v>97</v>
      </c>
    </row>
    <row r="2" spans="1:30" ht="12" customHeight="1">
      <c r="A2">
        <v>6</v>
      </c>
      <c r="B2" s="8">
        <f>$F$39/3.6</f>
        <v>84.370417487048002</v>
      </c>
      <c r="C2">
        <f>$B2*3.6</f>
        <v>303.73350295337281</v>
      </c>
      <c r="D2">
        <f>0.5*$H$37*($B2)^2</f>
        <v>4360</v>
      </c>
      <c r="E2">
        <f>(2/$H$37)*($E$35)*(1/$B2)^2</f>
        <v>1.5</v>
      </c>
      <c r="F2">
        <f>$J$33+$J$35*($E2)^2</f>
        <v>0.13242541958341611</v>
      </c>
      <c r="G2" s="7">
        <f>($F2*$D2*$A$33)/9.81</f>
        <v>31782.100700019862</v>
      </c>
      <c r="H2" s="8">
        <f>$E2/$F2</f>
        <v>11.327130430990517</v>
      </c>
      <c r="I2" s="7">
        <f>$D$33/$H2</f>
        <v>31782.100700019862</v>
      </c>
      <c r="J2" s="7">
        <f>$G2*9.81*$B2/1000</f>
        <v>26305.211916872307</v>
      </c>
      <c r="K2" s="7">
        <f>$J2/0.746</f>
        <v>35261.678172751082</v>
      </c>
      <c r="L2" s="10">
        <f>$B2/$J$37</f>
        <v>0.24792952538068763</v>
      </c>
      <c r="M2">
        <f>$R$35*(1-1.037*$L2+0.582*$L2*$L2)</f>
        <v>64785.516142590794</v>
      </c>
      <c r="N2">
        <f>M2/$O$35</f>
        <v>0.62293765521721922</v>
      </c>
      <c r="O2">
        <f>$M2*9.81*$B2/746</f>
        <v>71878.383434678981</v>
      </c>
      <c r="P2" s="7">
        <f>$M2-$G2</f>
        <v>33003.415442570928</v>
      </c>
      <c r="Q2" s="8">
        <f>57.3*ASIN($P2/$D$33)</f>
        <v>5.2604298095717059</v>
      </c>
      <c r="R2" s="7">
        <f>$O2-$K2</f>
        <v>36616.705261927898</v>
      </c>
      <c r="S2">
        <f>$R2*746/($D$33*9.81)</f>
        <v>7.7347553871894359</v>
      </c>
      <c r="T2" s="13">
        <f>U2*9.81/(D2*$A$33)</f>
        <v>0.13242541958341608</v>
      </c>
      <c r="U2" s="13">
        <f>IF(L2&lt;$M$33,I2,$M$37+$M$37*14*(L2-$M$33))</f>
        <v>31782.100700019862</v>
      </c>
      <c r="V2" s="14">
        <f>$U2*9.81*$B2/1000</f>
        <v>26305.211916872307</v>
      </c>
      <c r="W2" s="14">
        <f>$V2/0.746</f>
        <v>35261.678172751082</v>
      </c>
      <c r="X2" s="14">
        <f>$M2-$U2</f>
        <v>33003.415442570928</v>
      </c>
      <c r="Y2" s="15">
        <f>57.3*ASIN($X2/$D$33)</f>
        <v>5.2604298095717059</v>
      </c>
      <c r="Z2" s="14">
        <f>$O2-$W2</f>
        <v>36616.705261927898</v>
      </c>
      <c r="AA2" s="13">
        <f>$Z2*746/($D$33*9.81)</f>
        <v>7.7347553871894359</v>
      </c>
      <c r="AC2">
        <f>11.27*(2/$S$33)*SQRT(2/($H$37*$A$33))*(SQRT(E2))*(1/T2)*(SQRT($D$33)-SQRT($D$33-$E$33))</f>
        <v>1535.6799494630463</v>
      </c>
      <c r="AD2">
        <f>(1/$S$33)*(E2/T2)*LN($D$33/($D$33-$E$33))</f>
        <v>5.4310205955316428</v>
      </c>
    </row>
    <row r="3" spans="1:30" ht="12" customHeight="1">
      <c r="B3" s="8">
        <f>B2+$A$2</f>
        <v>90.370417487048002</v>
      </c>
      <c r="C3">
        <f t="shared" ref="C3:C30" si="0">$B3*3.6</f>
        <v>325.33350295337283</v>
      </c>
      <c r="D3">
        <f t="shared" ref="D3:D30" si="1">0.5*$H$37*($B3)^2</f>
        <v>5002.1725685298024</v>
      </c>
      <c r="E3">
        <f t="shared" ref="E3:E30" si="2">(2/$H$37)*($E$35)*(1/$B3)^2</f>
        <v>1.3074319029185717</v>
      </c>
      <c r="F3">
        <f t="shared" ref="F3:F30" si="3">$J$33+$J$35*($E3)^2</f>
        <v>0.10493169580500493</v>
      </c>
      <c r="G3" s="7">
        <f t="shared" ref="G3:G30" si="4">($F3*$D3*$A$33)/9.81</f>
        <v>28892.832127987673</v>
      </c>
      <c r="H3" s="8">
        <f t="shared" ref="H3:H30" si="5">$E3/$F3</f>
        <v>12.459837734331281</v>
      </c>
      <c r="I3" s="7">
        <f t="shared" ref="I3:I30" si="6">$D$33/$H3</f>
        <v>28892.832127987676</v>
      </c>
      <c r="J3" s="7">
        <f t="shared" ref="J3:J30" si="7">$G3*9.81*$B3/1000</f>
        <v>25614.472130554404</v>
      </c>
      <c r="K3" s="7">
        <f t="shared" ref="K3:K30" si="8">$J3/0.746</f>
        <v>34335.753526212342</v>
      </c>
      <c r="L3" s="10">
        <f t="shared" ref="L3:L30" si="9">$B3/$J$37</f>
        <v>0.26556102699690859</v>
      </c>
      <c r="M3">
        <f t="shared" ref="M3:M30" si="10">$R$35*(1-1.037*$L3+0.582*$L3*$L3)</f>
        <v>63702.695894400051</v>
      </c>
      <c r="N3">
        <f t="shared" ref="N3:N30" si="11">M3/$O$35</f>
        <v>0.612525922061539</v>
      </c>
      <c r="O3">
        <f t="shared" ref="O3:O30" si="12">$M3*9.81*$B3/746</f>
        <v>75703.207477076023</v>
      </c>
      <c r="P3" s="7">
        <f t="shared" ref="P3:P30" si="13">$M3-$G3</f>
        <v>34809.863766412382</v>
      </c>
      <c r="Q3" s="8">
        <f t="shared" ref="Q3:Q30" si="14">57.3*ASIN($P3/$D$33)</f>
        <v>5.5492403290825161</v>
      </c>
      <c r="R3" s="7">
        <f t="shared" ref="R3:R29" si="15">$O3-$K3</f>
        <v>41367.453950863681</v>
      </c>
      <c r="S3">
        <f t="shared" ref="S3:S30" si="16">$R3*746/($D$33*9.81)</f>
        <v>8.7382831145498656</v>
      </c>
      <c r="T3" s="13">
        <f t="shared" ref="T3:T30" si="17">U3*9.81/(D3*$A$33)</f>
        <v>0.10493169580500494</v>
      </c>
      <c r="U3" s="13">
        <f t="shared" ref="U3:U30" si="18">IF(L3&lt;$M$33,I3,$M$37+$M$37*14*(L3-$M$33))</f>
        <v>28892.832127987676</v>
      </c>
      <c r="V3" s="14">
        <f t="shared" ref="V3:V30" si="19">$U3*9.81*$B3/1000</f>
        <v>25614.472130554404</v>
      </c>
      <c r="W3" s="14">
        <f t="shared" ref="W3:W30" si="20">$V3/0.746</f>
        <v>34335.753526212342</v>
      </c>
      <c r="X3" s="14">
        <f t="shared" ref="X3:X30" si="21">$M3-$U3</f>
        <v>34809.863766412374</v>
      </c>
      <c r="Y3" s="15">
        <f t="shared" ref="Y3:Y30" si="22">57.3*ASIN($X3/$D$33)</f>
        <v>5.5492403290825152</v>
      </c>
      <c r="Z3" s="14">
        <f t="shared" ref="Z3:Z30" si="23">$O3-$W3</f>
        <v>41367.453950863681</v>
      </c>
      <c r="AA3" s="13">
        <f t="shared" ref="AA3:AA30" si="24">$Z3*746/($D$33*9.81)</f>
        <v>8.7382831145498656</v>
      </c>
      <c r="AC3">
        <f t="shared" ref="AC3:AC30" si="25">11.27*(2/$S$33)*SQRT(2/($H$37*$A$33))*(SQRT(E3))*(1/T3)*(SQRT($D$33)-SQRT($D$33-$E$33))</f>
        <v>1809.3779336259522</v>
      </c>
      <c r="AD3">
        <f t="shared" ref="AD3:AD30" si="26">(1/$S$33)*(E3/T3)*LN($D$33/($D$33-$E$33))</f>
        <v>5.9741199030422063</v>
      </c>
    </row>
    <row r="4" spans="1:30" ht="12" customHeight="1">
      <c r="B4" s="8">
        <f t="shared" ref="B4:B30" si="27">B3+$A$2</f>
        <v>96.370417487048002</v>
      </c>
      <c r="C4">
        <f t="shared" si="0"/>
        <v>346.93350295337279</v>
      </c>
      <c r="D4">
        <f t="shared" si="1"/>
        <v>5688.4451370596062</v>
      </c>
      <c r="E4">
        <f t="shared" si="2"/>
        <v>1.1496990552642594</v>
      </c>
      <c r="F4">
        <f t="shared" si="3"/>
        <v>8.5221522483868509E-2</v>
      </c>
      <c r="G4" s="7">
        <f t="shared" si="4"/>
        <v>26685.025053918038</v>
      </c>
      <c r="H4" s="8">
        <f t="shared" si="5"/>
        <v>13.490712460363341</v>
      </c>
      <c r="I4" s="7">
        <f>$D$33/$H4</f>
        <v>26685.025053918038</v>
      </c>
      <c r="J4" s="7">
        <f t="shared" si="7"/>
        <v>25227.857120015473</v>
      </c>
      <c r="K4" s="7">
        <f t="shared" si="8"/>
        <v>33817.502841843794</v>
      </c>
      <c r="L4" s="10">
        <f t="shared" si="9"/>
        <v>0.2831925286131296</v>
      </c>
      <c r="M4">
        <f t="shared" si="10"/>
        <v>62649.981774585278</v>
      </c>
      <c r="N4">
        <f t="shared" si="11"/>
        <v>0.60240367090947378</v>
      </c>
      <c r="O4">
        <f t="shared" si="12"/>
        <v>79395.313754536866</v>
      </c>
      <c r="P4" s="7">
        <f t="shared" si="13"/>
        <v>35964.956720667236</v>
      </c>
      <c r="Q4" s="8">
        <f t="shared" si="14"/>
        <v>5.7339874386147089</v>
      </c>
      <c r="R4" s="7">
        <f t="shared" si="15"/>
        <v>45577.810912693072</v>
      </c>
      <c r="S4">
        <f t="shared" si="16"/>
        <v>9.6276608168730977</v>
      </c>
      <c r="T4" s="13">
        <f t="shared" si="17"/>
        <v>8.5221522483868523E-2</v>
      </c>
      <c r="U4" s="13">
        <f t="shared" si="18"/>
        <v>26685.025053918038</v>
      </c>
      <c r="V4" s="14">
        <f t="shared" si="19"/>
        <v>25227.857120015473</v>
      </c>
      <c r="W4" s="14">
        <f t="shared" si="20"/>
        <v>33817.502841843794</v>
      </c>
      <c r="X4" s="14">
        <f t="shared" si="21"/>
        <v>35964.956720667236</v>
      </c>
      <c r="Y4" s="15">
        <f t="shared" si="22"/>
        <v>5.7339874386147089</v>
      </c>
      <c r="Z4" s="14">
        <f t="shared" si="23"/>
        <v>45577.810912693072</v>
      </c>
      <c r="AA4" s="13">
        <f t="shared" si="24"/>
        <v>9.6276608168730977</v>
      </c>
      <c r="AC4">
        <f t="shared" si="25"/>
        <v>2089.1481598837181</v>
      </c>
      <c r="AD4">
        <f t="shared" si="26"/>
        <v>6.4683935324139803</v>
      </c>
    </row>
    <row r="5" spans="1:30" ht="12" customHeight="1">
      <c r="B5" s="8">
        <f t="shared" si="27"/>
        <v>102.370417487048</v>
      </c>
      <c r="C5">
        <f t="shared" si="0"/>
        <v>368.53350295337282</v>
      </c>
      <c r="D5">
        <f t="shared" si="1"/>
        <v>6418.8177055894093</v>
      </c>
      <c r="E5">
        <f t="shared" si="2"/>
        <v>1.018879223553127</v>
      </c>
      <c r="F5">
        <f t="shared" si="3"/>
        <v>7.0794102144854126E-2</v>
      </c>
      <c r="G5" s="7">
        <f t="shared" si="4"/>
        <v>25013.638695341</v>
      </c>
      <c r="H5" s="8">
        <f t="shared" si="5"/>
        <v>14.392148394909578</v>
      </c>
      <c r="I5" s="7">
        <f t="shared" si="6"/>
        <v>25013.638695340996</v>
      </c>
      <c r="J5" s="7">
        <f t="shared" si="7"/>
        <v>25120.041600261044</v>
      </c>
      <c r="K5" s="7">
        <f t="shared" si="8"/>
        <v>33672.978016435714</v>
      </c>
      <c r="L5" s="10">
        <f t="shared" si="9"/>
        <v>0.30082403022935056</v>
      </c>
      <c r="M5">
        <f t="shared" si="10"/>
        <v>61627.373783146431</v>
      </c>
      <c r="N5">
        <f t="shared" si="11"/>
        <v>0.59257090176102334</v>
      </c>
      <c r="O5">
        <f t="shared" si="12"/>
        <v>82961.828460290184</v>
      </c>
      <c r="P5" s="7">
        <f t="shared" si="13"/>
        <v>36613.735087805428</v>
      </c>
      <c r="Q5" s="8">
        <f t="shared" si="14"/>
        <v>5.8377800284288535</v>
      </c>
      <c r="R5" s="7">
        <f t="shared" si="15"/>
        <v>49288.85044385447</v>
      </c>
      <c r="S5">
        <f t="shared" si="16"/>
        <v>10.411564851941169</v>
      </c>
      <c r="T5" s="13">
        <f t="shared" si="17"/>
        <v>7.0794102144854112E-2</v>
      </c>
      <c r="U5" s="13">
        <f t="shared" si="18"/>
        <v>25013.638695340996</v>
      </c>
      <c r="V5" s="14">
        <f t="shared" si="19"/>
        <v>25120.04160026104</v>
      </c>
      <c r="W5" s="14">
        <f t="shared" si="20"/>
        <v>33672.978016435707</v>
      </c>
      <c r="X5" s="14">
        <f t="shared" si="21"/>
        <v>36613.735087805435</v>
      </c>
      <c r="Y5" s="15">
        <f t="shared" si="22"/>
        <v>5.8377800284288552</v>
      </c>
      <c r="Z5" s="14">
        <f t="shared" si="23"/>
        <v>49288.850443854477</v>
      </c>
      <c r="AA5" s="13">
        <f t="shared" si="24"/>
        <v>10.411564851941172</v>
      </c>
      <c r="AC5">
        <f t="shared" si="25"/>
        <v>2367.5039767156286</v>
      </c>
      <c r="AD5">
        <f t="shared" si="26"/>
        <v>6.9006051288019314</v>
      </c>
    </row>
    <row r="6" spans="1:30" ht="12" customHeight="1">
      <c r="B6" s="8">
        <f t="shared" si="27"/>
        <v>108.370417487048</v>
      </c>
      <c r="C6">
        <f t="shared" si="0"/>
        <v>390.13350295337284</v>
      </c>
      <c r="D6">
        <f t="shared" si="1"/>
        <v>7193.290274119212</v>
      </c>
      <c r="E6">
        <f t="shared" si="2"/>
        <v>0.90918060453229754</v>
      </c>
      <c r="F6">
        <f t="shared" si="3"/>
        <v>6.0037832970452384E-2</v>
      </c>
      <c r="G6" s="7">
        <f t="shared" si="4"/>
        <v>23772.636329479756</v>
      </c>
      <c r="H6" s="8">
        <f t="shared" si="5"/>
        <v>15.143461373426831</v>
      </c>
      <c r="I6" s="7">
        <f t="shared" si="6"/>
        <v>23772.636329479752</v>
      </c>
      <c r="J6" s="7">
        <f t="shared" si="7"/>
        <v>25273.017638414098</v>
      </c>
      <c r="K6" s="7">
        <f t="shared" si="8"/>
        <v>33878.039729777614</v>
      </c>
      <c r="L6" s="10">
        <f t="shared" si="9"/>
        <v>0.31845553184557157</v>
      </c>
      <c r="M6">
        <f t="shared" si="10"/>
        <v>60634.871920083555</v>
      </c>
      <c r="N6">
        <f t="shared" si="11"/>
        <v>0.58302761461618802</v>
      </c>
      <c r="O6">
        <f t="shared" si="12"/>
        <v>86409.877787564736</v>
      </c>
      <c r="P6" s="7">
        <f t="shared" si="13"/>
        <v>36862.235590603799</v>
      </c>
      <c r="Q6" s="8">
        <f t="shared" si="14"/>
        <v>5.8775406049820225</v>
      </c>
      <c r="R6" s="7">
        <f t="shared" si="15"/>
        <v>52531.838057787121</v>
      </c>
      <c r="S6">
        <f t="shared" si="16"/>
        <v>11.096599612387925</v>
      </c>
      <c r="T6" s="13">
        <f t="shared" si="17"/>
        <v>6.0037832970452384E-2</v>
      </c>
      <c r="U6" s="13">
        <f t="shared" si="18"/>
        <v>23772.636329479752</v>
      </c>
      <c r="V6" s="14">
        <f t="shared" si="19"/>
        <v>25273.017638414094</v>
      </c>
      <c r="W6" s="14">
        <f t="shared" si="20"/>
        <v>33878.039729777607</v>
      </c>
      <c r="X6" s="14">
        <f t="shared" si="21"/>
        <v>36862.235590603799</v>
      </c>
      <c r="Y6" s="15">
        <f t="shared" si="22"/>
        <v>5.8775406049820225</v>
      </c>
      <c r="Z6" s="14">
        <f t="shared" si="23"/>
        <v>52531.838057787128</v>
      </c>
      <c r="AA6" s="13">
        <f t="shared" si="24"/>
        <v>11.096599612387925</v>
      </c>
      <c r="AC6">
        <f t="shared" si="25"/>
        <v>2637.0994916163595</v>
      </c>
      <c r="AD6">
        <f t="shared" si="26"/>
        <v>7.2608372533348708</v>
      </c>
    </row>
    <row r="7" spans="1:30" ht="12" customHeight="1">
      <c r="B7" s="8">
        <f t="shared" si="27"/>
        <v>114.370417487048</v>
      </c>
      <c r="C7">
        <f t="shared" si="0"/>
        <v>411.73350295337281</v>
      </c>
      <c r="D7">
        <f t="shared" si="1"/>
        <v>8011.862842649015</v>
      </c>
      <c r="E7">
        <f t="shared" si="2"/>
        <v>0.81628956067321246</v>
      </c>
      <c r="F7">
        <f t="shared" si="3"/>
        <v>5.1886637776831418E-2</v>
      </c>
      <c r="G7" s="7">
        <f t="shared" si="4"/>
        <v>22883.04359087253</v>
      </c>
      <c r="H7" s="8">
        <f t="shared" si="5"/>
        <v>15.732172976482678</v>
      </c>
      <c r="I7" s="7">
        <f t="shared" si="6"/>
        <v>22883.043590872534</v>
      </c>
      <c r="J7" s="7">
        <f t="shared" si="7"/>
        <v>25674.175271340235</v>
      </c>
      <c r="K7" s="7">
        <f t="shared" si="8"/>
        <v>34415.78454603249</v>
      </c>
      <c r="L7" s="10">
        <f t="shared" si="9"/>
        <v>0.33608703346179253</v>
      </c>
      <c r="M7">
        <f t="shared" si="10"/>
        <v>59672.476185396612</v>
      </c>
      <c r="N7">
        <f t="shared" si="11"/>
        <v>0.57377380947496748</v>
      </c>
      <c r="O7">
        <f t="shared" si="12"/>
        <v>89746.587929589208</v>
      </c>
      <c r="P7" s="7">
        <f t="shared" si="13"/>
        <v>36789.432594524085</v>
      </c>
      <c r="Q7" s="8">
        <f t="shared" si="14"/>
        <v>5.8658916869898388</v>
      </c>
      <c r="R7" s="7">
        <f t="shared" si="15"/>
        <v>55330.803383556718</v>
      </c>
      <c r="S7">
        <f t="shared" si="16"/>
        <v>11.687841013742585</v>
      </c>
      <c r="T7" s="13">
        <f t="shared" si="17"/>
        <v>5.1886637776831432E-2</v>
      </c>
      <c r="U7" s="13">
        <f t="shared" si="18"/>
        <v>22883.043590872534</v>
      </c>
      <c r="V7" s="14">
        <f t="shared" si="19"/>
        <v>25674.175271340242</v>
      </c>
      <c r="W7" s="14">
        <f t="shared" si="20"/>
        <v>34415.784546032497</v>
      </c>
      <c r="X7" s="14">
        <f t="shared" si="21"/>
        <v>36789.432594524078</v>
      </c>
      <c r="Y7" s="15">
        <f t="shared" si="22"/>
        <v>5.865891686989837</v>
      </c>
      <c r="Z7" s="14">
        <f t="shared" si="23"/>
        <v>55330.803383556711</v>
      </c>
      <c r="AA7" s="13">
        <f t="shared" si="24"/>
        <v>11.687841013742583</v>
      </c>
      <c r="AC7">
        <f t="shared" si="25"/>
        <v>2891.29918455191</v>
      </c>
      <c r="AD7">
        <f t="shared" si="26"/>
        <v>7.5431068767407279</v>
      </c>
    </row>
    <row r="8" spans="1:30" ht="12" customHeight="1">
      <c r="B8" s="8">
        <f t="shared" si="27"/>
        <v>120.370417487048</v>
      </c>
      <c r="C8">
        <f t="shared" si="0"/>
        <v>433.33350295337283</v>
      </c>
      <c r="D8">
        <f t="shared" si="1"/>
        <v>8874.5354111788165</v>
      </c>
      <c r="E8">
        <f t="shared" si="2"/>
        <v>0.73693998581175091</v>
      </c>
      <c r="F8">
        <f t="shared" si="3"/>
        <v>4.5618763984306358E-2</v>
      </c>
      <c r="G8" s="7">
        <f t="shared" si="4"/>
        <v>22285.064388601961</v>
      </c>
      <c r="H8" s="8">
        <f t="shared" si="5"/>
        <v>16.154317246851996</v>
      </c>
      <c r="I8" s="7">
        <f t="shared" si="6"/>
        <v>22285.064388601968</v>
      </c>
      <c r="J8" s="7">
        <f t="shared" si="7"/>
        <v>26314.957166023105</v>
      </c>
      <c r="K8" s="7">
        <f t="shared" si="8"/>
        <v>35274.741509414351</v>
      </c>
      <c r="L8" s="10">
        <f t="shared" si="9"/>
        <v>0.35371853507801349</v>
      </c>
      <c r="M8">
        <f t="shared" si="10"/>
        <v>58740.186579085632</v>
      </c>
      <c r="N8">
        <f t="shared" si="11"/>
        <v>0.56480948633736183</v>
      </c>
      <c r="O8">
        <f t="shared" si="12"/>
        <v>92979.085079592376</v>
      </c>
      <c r="P8" s="7">
        <f t="shared" si="13"/>
        <v>36455.122190483671</v>
      </c>
      <c r="Q8" s="8">
        <f t="shared" si="14"/>
        <v>5.8124031240969423</v>
      </c>
      <c r="R8" s="7">
        <f t="shared" si="15"/>
        <v>57704.343570178025</v>
      </c>
      <c r="S8">
        <f t="shared" si="16"/>
        <v>12.189217437805191</v>
      </c>
      <c r="T8" s="13">
        <f t="shared" si="17"/>
        <v>4.5618763984306372E-2</v>
      </c>
      <c r="U8" s="13">
        <f t="shared" si="18"/>
        <v>22285.064388601968</v>
      </c>
      <c r="V8" s="14">
        <f t="shared" si="19"/>
        <v>26314.957166023116</v>
      </c>
      <c r="W8" s="14">
        <f t="shared" si="20"/>
        <v>35274.741509414365</v>
      </c>
      <c r="X8" s="14">
        <f t="shared" si="21"/>
        <v>36455.122190483664</v>
      </c>
      <c r="Y8" s="15">
        <f t="shared" si="22"/>
        <v>5.8124031240969405</v>
      </c>
      <c r="Z8" s="14">
        <f t="shared" si="23"/>
        <v>57704.343570178011</v>
      </c>
      <c r="AA8" s="13">
        <f t="shared" si="24"/>
        <v>12.189217437805187</v>
      </c>
      <c r="AC8">
        <f t="shared" si="25"/>
        <v>3124.6328103711539</v>
      </c>
      <c r="AD8">
        <f t="shared" si="26"/>
        <v>7.745512441029879</v>
      </c>
    </row>
    <row r="9" spans="1:30" ht="12" customHeight="1">
      <c r="B9" s="8">
        <f t="shared" si="27"/>
        <v>126.370417487048</v>
      </c>
      <c r="C9">
        <f t="shared" si="0"/>
        <v>454.93350295337279</v>
      </c>
      <c r="D9">
        <f t="shared" si="1"/>
        <v>9781.3079797086193</v>
      </c>
      <c r="E9">
        <f t="shared" si="2"/>
        <v>0.66862223473253946</v>
      </c>
      <c r="F9">
        <f t="shared" si="3"/>
        <v>4.0735348988160683E-2</v>
      </c>
      <c r="G9" s="7">
        <f t="shared" si="4"/>
        <v>21932.751969584118</v>
      </c>
      <c r="H9" s="8">
        <f t="shared" si="5"/>
        <v>16.41380892371556</v>
      </c>
      <c r="I9" s="7">
        <f t="shared" si="6"/>
        <v>21932.751969584129</v>
      </c>
      <c r="J9" s="7">
        <f t="shared" si="7"/>
        <v>27189.896535985314</v>
      </c>
      <c r="K9" s="7">
        <f t="shared" si="8"/>
        <v>36447.58248791597</v>
      </c>
      <c r="L9" s="10">
        <f t="shared" si="9"/>
        <v>0.3713500366942345</v>
      </c>
      <c r="M9">
        <f t="shared" si="10"/>
        <v>57838.003101150585</v>
      </c>
      <c r="N9">
        <f t="shared" si="11"/>
        <v>0.55613464520337097</v>
      </c>
      <c r="O9">
        <f t="shared" si="12"/>
        <v>96114.495430802897</v>
      </c>
      <c r="P9" s="7">
        <f t="shared" si="13"/>
        <v>35905.251131566467</v>
      </c>
      <c r="Q9" s="8">
        <f t="shared" si="14"/>
        <v>5.7244365976938827</v>
      </c>
      <c r="R9" s="7">
        <f t="shared" si="15"/>
        <v>59666.912942886927</v>
      </c>
      <c r="S9">
        <f t="shared" si="16"/>
        <v>12.603782154092663</v>
      </c>
      <c r="T9" s="13">
        <f t="shared" si="17"/>
        <v>4.0735348988160704E-2</v>
      </c>
      <c r="U9" s="13">
        <f t="shared" si="18"/>
        <v>21932.751969584129</v>
      </c>
      <c r="V9" s="14">
        <f t="shared" si="19"/>
        <v>27189.896535985328</v>
      </c>
      <c r="W9" s="14">
        <f t="shared" si="20"/>
        <v>36447.582487915992</v>
      </c>
      <c r="X9" s="14">
        <f t="shared" si="21"/>
        <v>35905.25113156646</v>
      </c>
      <c r="Y9" s="15">
        <f t="shared" si="22"/>
        <v>5.7244365976938818</v>
      </c>
      <c r="Z9" s="14">
        <f t="shared" si="23"/>
        <v>59666.912942886906</v>
      </c>
      <c r="AA9" s="13">
        <f t="shared" si="24"/>
        <v>12.603782154092658</v>
      </c>
      <c r="AC9">
        <f t="shared" si="25"/>
        <v>3333.0774709321408</v>
      </c>
      <c r="AD9">
        <f t="shared" si="26"/>
        <v>7.8699309466700411</v>
      </c>
    </row>
    <row r="10" spans="1:30" ht="12" customHeight="1">
      <c r="B10" s="8">
        <f t="shared" si="27"/>
        <v>132.370417487048</v>
      </c>
      <c r="C10">
        <f t="shared" si="0"/>
        <v>476.53350295337282</v>
      </c>
      <c r="D10">
        <f t="shared" si="1"/>
        <v>10732.180548238422</v>
      </c>
      <c r="E10">
        <f t="shared" si="2"/>
        <v>0.60938221926144098</v>
      </c>
      <c r="F10">
        <f t="shared" si="3"/>
        <v>3.6885111429835499E-2</v>
      </c>
      <c r="G10" s="7">
        <f t="shared" si="4"/>
        <v>21790.330756342417</v>
      </c>
      <c r="H10" s="8">
        <f t="shared" si="5"/>
        <v>16.521089286137443</v>
      </c>
      <c r="I10" s="7">
        <f t="shared" si="6"/>
        <v>21790.330756342424</v>
      </c>
      <c r="J10" s="7">
        <f t="shared" si="7"/>
        <v>28295.916709893485</v>
      </c>
      <c r="K10" s="7">
        <f t="shared" si="8"/>
        <v>37930.183257229874</v>
      </c>
      <c r="L10" s="10">
        <f t="shared" si="9"/>
        <v>0.38898153831045545</v>
      </c>
      <c r="M10">
        <f t="shared" si="10"/>
        <v>56965.925751591509</v>
      </c>
      <c r="N10">
        <f t="shared" si="11"/>
        <v>0.54774928607299522</v>
      </c>
      <c r="O10">
        <f t="shared" si="12"/>
        <v>99159.945176449517</v>
      </c>
      <c r="P10" s="7">
        <f t="shared" si="13"/>
        <v>35175.594995249092</v>
      </c>
      <c r="Q10" s="8">
        <f t="shared" si="14"/>
        <v>5.6077295178002293</v>
      </c>
      <c r="R10" s="7">
        <f t="shared" si="15"/>
        <v>61229.761919219643</v>
      </c>
      <c r="S10">
        <f t="shared" si="16"/>
        <v>12.933911652434549</v>
      </c>
      <c r="T10" s="13">
        <f t="shared" si="17"/>
        <v>3.6885111429835513E-2</v>
      </c>
      <c r="U10" s="13">
        <f t="shared" si="18"/>
        <v>21790.330756342424</v>
      </c>
      <c r="V10" s="14">
        <f t="shared" si="19"/>
        <v>28295.916709893492</v>
      </c>
      <c r="W10" s="14">
        <f t="shared" si="20"/>
        <v>37930.183257229881</v>
      </c>
      <c r="X10" s="14">
        <f t="shared" si="21"/>
        <v>35175.594995249085</v>
      </c>
      <c r="Y10" s="15">
        <f t="shared" si="22"/>
        <v>5.6077295178002275</v>
      </c>
      <c r="Z10" s="14">
        <f t="shared" si="23"/>
        <v>61229.761919219636</v>
      </c>
      <c r="AA10" s="13">
        <f t="shared" si="24"/>
        <v>12.933911652434547</v>
      </c>
      <c r="AC10">
        <f t="shared" si="25"/>
        <v>3514.1494829572107</v>
      </c>
      <c r="AD10">
        <f t="shared" si="26"/>
        <v>7.9213686749948833</v>
      </c>
    </row>
    <row r="11" spans="1:30" ht="12" customHeight="1">
      <c r="B11" s="8">
        <f t="shared" si="27"/>
        <v>138.370417487048</v>
      </c>
      <c r="C11">
        <f t="shared" si="0"/>
        <v>498.13350295337284</v>
      </c>
      <c r="D11">
        <f t="shared" si="1"/>
        <v>11727.153116768226</v>
      </c>
      <c r="E11">
        <f t="shared" si="2"/>
        <v>0.55768010657665013</v>
      </c>
      <c r="F11">
        <f t="shared" si="3"/>
        <v>3.3816496913953553E-2</v>
      </c>
      <c r="G11" s="7">
        <f t="shared" si="4"/>
        <v>21829.609386201111</v>
      </c>
      <c r="H11" s="8">
        <f t="shared" si="5"/>
        <v>16.491362425731833</v>
      </c>
      <c r="I11" s="7">
        <f t="shared" si="6"/>
        <v>21829.609386201115</v>
      </c>
      <c r="J11" s="7">
        <f t="shared" si="7"/>
        <v>29631.812932252207</v>
      </c>
      <c r="K11" s="7">
        <f t="shared" si="8"/>
        <v>39720.92886360886</v>
      </c>
      <c r="L11" s="10">
        <f t="shared" si="9"/>
        <v>0.40661303992667647</v>
      </c>
      <c r="M11">
        <f t="shared" si="10"/>
        <v>56123.954530408373</v>
      </c>
      <c r="N11">
        <f t="shared" si="11"/>
        <v>0.53965340894623437</v>
      </c>
      <c r="O11">
        <f t="shared" si="12"/>
        <v>102122.56050976097</v>
      </c>
      <c r="P11" s="7">
        <f t="shared" si="13"/>
        <v>34294.345144207262</v>
      </c>
      <c r="Q11" s="8">
        <f t="shared" si="14"/>
        <v>5.4668063805779852</v>
      </c>
      <c r="R11" s="7">
        <f t="shared" si="15"/>
        <v>62401.631646152106</v>
      </c>
      <c r="S11">
        <f t="shared" si="16"/>
        <v>13.181452375135766</v>
      </c>
      <c r="T11" s="13">
        <f t="shared" si="17"/>
        <v>3.381649691395356E-2</v>
      </c>
      <c r="U11" s="13">
        <f t="shared" si="18"/>
        <v>21829.609386201115</v>
      </c>
      <c r="V11" s="14">
        <f t="shared" si="19"/>
        <v>29631.812932252215</v>
      </c>
      <c r="W11" s="14">
        <f t="shared" si="20"/>
        <v>39720.928863608868</v>
      </c>
      <c r="X11" s="14">
        <f t="shared" si="21"/>
        <v>34294.345144207255</v>
      </c>
      <c r="Y11" s="15">
        <f t="shared" si="22"/>
        <v>5.4668063805779843</v>
      </c>
      <c r="Z11" s="14">
        <f t="shared" si="23"/>
        <v>62401.631646152098</v>
      </c>
      <c r="AA11" s="13">
        <f t="shared" si="24"/>
        <v>13.181452375135764</v>
      </c>
      <c r="AC11">
        <f t="shared" si="25"/>
        <v>3666.8268423973441</v>
      </c>
      <c r="AD11">
        <f t="shared" si="26"/>
        <v>7.9071155336466008</v>
      </c>
    </row>
    <row r="12" spans="1:30" ht="12" customHeight="1">
      <c r="B12" s="8">
        <f t="shared" si="27"/>
        <v>144.370417487048</v>
      </c>
      <c r="C12">
        <f t="shared" si="0"/>
        <v>519.73350295337286</v>
      </c>
      <c r="D12">
        <f t="shared" si="1"/>
        <v>12766.225685298028</v>
      </c>
      <c r="E12">
        <f t="shared" si="2"/>
        <v>0.51228923577088725</v>
      </c>
      <c r="F12">
        <f t="shared" si="3"/>
        <v>3.1346594217968524E-2</v>
      </c>
      <c r="G12" s="7">
        <f t="shared" si="4"/>
        <v>22028.130068919876</v>
      </c>
      <c r="H12" s="8">
        <f t="shared" si="5"/>
        <v>16.342739890933107</v>
      </c>
      <c r="I12" s="7">
        <f t="shared" si="6"/>
        <v>22028.130068919883</v>
      </c>
      <c r="J12" s="7">
        <f t="shared" si="7"/>
        <v>31197.863381532879</v>
      </c>
      <c r="K12" s="7">
        <f t="shared" si="8"/>
        <v>41820.192200446218</v>
      </c>
      <c r="L12" s="10">
        <f t="shared" si="9"/>
        <v>0.42424454154289742</v>
      </c>
      <c r="M12">
        <f t="shared" si="10"/>
        <v>55312.089437601186</v>
      </c>
      <c r="N12">
        <f t="shared" si="11"/>
        <v>0.5318470138230883</v>
      </c>
      <c r="O12">
        <f t="shared" si="12"/>
        <v>105009.46762396597</v>
      </c>
      <c r="P12" s="7">
        <f t="shared" si="13"/>
        <v>33283.95936868131</v>
      </c>
      <c r="Q12" s="8">
        <f t="shared" si="14"/>
        <v>5.3052735068331947</v>
      </c>
      <c r="R12" s="7">
        <f t="shared" si="15"/>
        <v>63189.275423519757</v>
      </c>
      <c r="S12">
        <f t="shared" si="16"/>
        <v>13.347830860217957</v>
      </c>
      <c r="T12" s="13">
        <f t="shared" si="17"/>
        <v>3.1346594217968531E-2</v>
      </c>
      <c r="U12" s="13">
        <f t="shared" si="18"/>
        <v>22028.130068919883</v>
      </c>
      <c r="V12" s="14">
        <f t="shared" si="19"/>
        <v>31197.86338153289</v>
      </c>
      <c r="W12" s="14">
        <f t="shared" si="20"/>
        <v>41820.192200446232</v>
      </c>
      <c r="X12" s="14">
        <f t="shared" si="21"/>
        <v>33283.959368681302</v>
      </c>
      <c r="Y12" s="15">
        <f t="shared" si="22"/>
        <v>5.3052735068331929</v>
      </c>
      <c r="Z12" s="14">
        <f t="shared" si="23"/>
        <v>63189.275423519743</v>
      </c>
      <c r="AA12" s="13">
        <f t="shared" si="24"/>
        <v>13.347830860217954</v>
      </c>
      <c r="AC12">
        <f t="shared" si="25"/>
        <v>3791.348402727599</v>
      </c>
      <c r="AD12">
        <f t="shared" si="26"/>
        <v>7.8358554689400437</v>
      </c>
    </row>
    <row r="13" spans="1:30" ht="12" customHeight="1">
      <c r="B13" s="8">
        <f t="shared" si="27"/>
        <v>150.370417487048</v>
      </c>
      <c r="C13">
        <f t="shared" si="0"/>
        <v>541.33350295337277</v>
      </c>
      <c r="D13">
        <f t="shared" si="1"/>
        <v>13849.398253827832</v>
      </c>
      <c r="E13">
        <f t="shared" si="2"/>
        <v>0.47222268290193842</v>
      </c>
      <c r="F13">
        <f t="shared" si="3"/>
        <v>2.9340538676586342E-2</v>
      </c>
      <c r="G13" s="7">
        <f t="shared" si="4"/>
        <v>22367.824134709146</v>
      </c>
      <c r="H13" s="8">
        <f t="shared" si="5"/>
        <v>16.094547141998135</v>
      </c>
      <c r="I13" s="7">
        <f t="shared" si="6"/>
        <v>22367.824134709146</v>
      </c>
      <c r="J13" s="7">
        <f t="shared" si="7"/>
        <v>32995.533313982341</v>
      </c>
      <c r="K13" s="7">
        <f t="shared" si="8"/>
        <v>44229.937418206893</v>
      </c>
      <c r="L13" s="10">
        <f t="shared" si="9"/>
        <v>0.44187604315911844</v>
      </c>
      <c r="M13">
        <f t="shared" si="10"/>
        <v>54530.330473169939</v>
      </c>
      <c r="N13">
        <f t="shared" si="11"/>
        <v>0.52433010070355712</v>
      </c>
      <c r="O13">
        <f t="shared" si="12"/>
        <v>107827.79271229319</v>
      </c>
      <c r="P13" s="7">
        <f t="shared" si="13"/>
        <v>32162.506338460793</v>
      </c>
      <c r="Q13" s="8">
        <f t="shared" si="14"/>
        <v>5.1260334772724905</v>
      </c>
      <c r="R13" s="7">
        <f t="shared" si="15"/>
        <v>63597.855294086294</v>
      </c>
      <c r="S13">
        <f t="shared" si="16"/>
        <v>13.43413751540049</v>
      </c>
      <c r="T13" s="13">
        <f t="shared" si="17"/>
        <v>2.9340538676586342E-2</v>
      </c>
      <c r="U13" s="13">
        <f t="shared" si="18"/>
        <v>22367.824134709146</v>
      </c>
      <c r="V13" s="14">
        <f t="shared" si="19"/>
        <v>32995.533313982341</v>
      </c>
      <c r="W13" s="14">
        <f t="shared" si="20"/>
        <v>44229.937418206893</v>
      </c>
      <c r="X13" s="14">
        <f t="shared" si="21"/>
        <v>32162.506338460793</v>
      </c>
      <c r="Y13" s="15">
        <f t="shared" si="22"/>
        <v>5.1260334772724905</v>
      </c>
      <c r="Z13" s="14">
        <f t="shared" si="23"/>
        <v>63597.855294086294</v>
      </c>
      <c r="AA13" s="13">
        <f t="shared" si="24"/>
        <v>13.43413751540049</v>
      </c>
      <c r="AC13">
        <f t="shared" si="25"/>
        <v>3888.9448219684973</v>
      </c>
      <c r="AD13">
        <f t="shared" si="26"/>
        <v>7.7168544616381824</v>
      </c>
    </row>
    <row r="14" spans="1:30" ht="12" customHeight="1">
      <c r="B14" s="8">
        <f t="shared" si="27"/>
        <v>156.370417487048</v>
      </c>
      <c r="C14">
        <f t="shared" si="0"/>
        <v>562.93350295337279</v>
      </c>
      <c r="D14">
        <f t="shared" si="1"/>
        <v>14976.670822357633</v>
      </c>
      <c r="E14">
        <f t="shared" si="2"/>
        <v>0.43667915770952825</v>
      </c>
      <c r="F14">
        <f t="shared" si="3"/>
        <v>2.7697614664165406E-2</v>
      </c>
      <c r="G14" s="7">
        <f t="shared" si="4"/>
        <v>22834.021507690508</v>
      </c>
      <c r="H14" s="8">
        <f t="shared" si="5"/>
        <v>15.765948187390109</v>
      </c>
      <c r="I14" s="7">
        <f t="shared" si="6"/>
        <v>22834.021507690511</v>
      </c>
      <c r="J14" s="7">
        <f t="shared" si="7"/>
        <v>35027.247320205483</v>
      </c>
      <c r="K14" s="7">
        <f t="shared" si="8"/>
        <v>46953.414638345152</v>
      </c>
      <c r="L14" s="10">
        <f t="shared" si="9"/>
        <v>0.45950754477533939</v>
      </c>
      <c r="M14">
        <f t="shared" si="10"/>
        <v>53778.677637114648</v>
      </c>
      <c r="N14">
        <f t="shared" si="11"/>
        <v>0.51710266958764084</v>
      </c>
      <c r="O14">
        <f t="shared" si="12"/>
        <v>110584.66196797141</v>
      </c>
      <c r="P14" s="7">
        <f t="shared" si="13"/>
        <v>30944.65612942414</v>
      </c>
      <c r="Q14" s="8">
        <f t="shared" si="14"/>
        <v>4.9314433308602297</v>
      </c>
      <c r="R14" s="7">
        <f t="shared" si="15"/>
        <v>63631.247329626254</v>
      </c>
      <c r="S14">
        <f t="shared" si="16"/>
        <v>13.441191105419975</v>
      </c>
      <c r="T14" s="13">
        <f t="shared" si="17"/>
        <v>2.7697614664165409E-2</v>
      </c>
      <c r="U14" s="13">
        <f t="shared" si="18"/>
        <v>22834.021507690511</v>
      </c>
      <c r="V14" s="14">
        <f t="shared" si="19"/>
        <v>35027.24732020549</v>
      </c>
      <c r="W14" s="14">
        <f t="shared" si="20"/>
        <v>46953.414638345159</v>
      </c>
      <c r="X14" s="14">
        <f t="shared" si="21"/>
        <v>30944.656129424136</v>
      </c>
      <c r="Y14" s="15">
        <f t="shared" si="22"/>
        <v>4.9314433308602288</v>
      </c>
      <c r="Z14" s="14">
        <f t="shared" si="23"/>
        <v>63631.247329626247</v>
      </c>
      <c r="AA14" s="13">
        <f t="shared" si="24"/>
        <v>13.441191105419973</v>
      </c>
      <c r="AC14">
        <f t="shared" si="25"/>
        <v>3961.5514907182114</v>
      </c>
      <c r="AD14">
        <f t="shared" si="26"/>
        <v>7.5593010811929728</v>
      </c>
    </row>
    <row r="15" spans="1:30" ht="12" customHeight="1">
      <c r="B15" s="8">
        <f t="shared" si="27"/>
        <v>162.370417487048</v>
      </c>
      <c r="C15">
        <f t="shared" si="0"/>
        <v>584.53350295337282</v>
      </c>
      <c r="D15">
        <f t="shared" si="1"/>
        <v>16148.043390887438</v>
      </c>
      <c r="E15">
        <f t="shared" si="2"/>
        <v>0.40500262735797532</v>
      </c>
      <c r="F15">
        <f t="shared" si="3"/>
        <v>2.6341721317136031E-2</v>
      </c>
      <c r="G15" s="7">
        <f t="shared" si="4"/>
        <v>23414.711494666637</v>
      </c>
      <c r="H15" s="8">
        <f t="shared" si="5"/>
        <v>15.374949210115199</v>
      </c>
      <c r="I15" s="7">
        <f t="shared" si="6"/>
        <v>23414.711494666633</v>
      </c>
      <c r="J15" s="7">
        <f t="shared" si="7"/>
        <v>37296.212075939751</v>
      </c>
      <c r="K15" s="7">
        <f t="shared" si="8"/>
        <v>49994.922353806636</v>
      </c>
      <c r="L15" s="10">
        <f t="shared" si="9"/>
        <v>0.47713904639156035</v>
      </c>
      <c r="M15">
        <f t="shared" si="10"/>
        <v>53057.130929435312</v>
      </c>
      <c r="N15">
        <f t="shared" si="11"/>
        <v>0.51016472047533956</v>
      </c>
      <c r="O15">
        <f t="shared" si="12"/>
        <v>113287.20158422935</v>
      </c>
      <c r="P15" s="7">
        <f t="shared" si="13"/>
        <v>29642.419434768675</v>
      </c>
      <c r="Q15" s="8">
        <f t="shared" si="14"/>
        <v>4.7234327702964043</v>
      </c>
      <c r="R15" s="7">
        <f t="shared" si="15"/>
        <v>63292.279230422711</v>
      </c>
      <c r="S15">
        <f t="shared" si="16"/>
        <v>13.369588941526601</v>
      </c>
      <c r="T15" s="13">
        <f t="shared" si="17"/>
        <v>2.6341721317136031E-2</v>
      </c>
      <c r="U15" s="13">
        <f t="shared" si="18"/>
        <v>23414.711494666633</v>
      </c>
      <c r="V15" s="14">
        <f t="shared" si="19"/>
        <v>37296.212075939751</v>
      </c>
      <c r="W15" s="14">
        <f t="shared" si="20"/>
        <v>49994.922353806636</v>
      </c>
      <c r="X15" s="14">
        <f t="shared" si="21"/>
        <v>29642.419434768679</v>
      </c>
      <c r="Y15" s="15">
        <f t="shared" si="22"/>
        <v>4.7234327702964052</v>
      </c>
      <c r="Z15" s="14">
        <f t="shared" si="23"/>
        <v>63292.279230422711</v>
      </c>
      <c r="AA15" s="13">
        <f t="shared" si="24"/>
        <v>13.369588941526601</v>
      </c>
      <c r="AC15">
        <f t="shared" si="25"/>
        <v>4011.5407810932024</v>
      </c>
      <c r="AD15">
        <f t="shared" si="26"/>
        <v>7.3718287543446852</v>
      </c>
    </row>
    <row r="16" spans="1:30" ht="12" customHeight="1">
      <c r="B16" s="8">
        <f t="shared" si="27"/>
        <v>168.370417487048</v>
      </c>
      <c r="C16">
        <f t="shared" si="0"/>
        <v>606.13350295337284</v>
      </c>
      <c r="D16">
        <f t="shared" si="1"/>
        <v>17363.51595941724</v>
      </c>
      <c r="E16">
        <f t="shared" si="2"/>
        <v>0.37665182646680373</v>
      </c>
      <c r="F16">
        <f t="shared" si="3"/>
        <v>2.5214731130930063E-2</v>
      </c>
      <c r="G16" s="7">
        <f t="shared" si="4"/>
        <v>24099.984572714795</v>
      </c>
      <c r="H16" s="8">
        <f t="shared" si="5"/>
        <v>14.937768898307926</v>
      </c>
      <c r="I16" s="7">
        <f t="shared" si="6"/>
        <v>24099.984572714802</v>
      </c>
      <c r="J16" s="7">
        <f t="shared" si="7"/>
        <v>39806.276991245584</v>
      </c>
      <c r="K16" s="7">
        <f t="shared" si="8"/>
        <v>53359.620631696496</v>
      </c>
      <c r="L16" s="10">
        <f t="shared" si="9"/>
        <v>0.49477054800778136</v>
      </c>
      <c r="M16">
        <f t="shared" si="10"/>
        <v>52365.690350131925</v>
      </c>
      <c r="N16">
        <f t="shared" si="11"/>
        <v>0.50351625336665318</v>
      </c>
      <c r="O16">
        <f t="shared" si="12"/>
        <v>115942.5377542957</v>
      </c>
      <c r="P16" s="7">
        <f t="shared" si="13"/>
        <v>28265.70577741713</v>
      </c>
      <c r="Q16" s="8">
        <f t="shared" si="14"/>
        <v>4.5035935237246667</v>
      </c>
      <c r="R16" s="7">
        <f t="shared" si="15"/>
        <v>62582.917122599203</v>
      </c>
      <c r="S16">
        <f t="shared" si="16"/>
        <v>13.219746339749408</v>
      </c>
      <c r="T16" s="13">
        <f t="shared" si="17"/>
        <v>2.5214731130930066E-2</v>
      </c>
      <c r="U16" s="13">
        <f t="shared" si="18"/>
        <v>24099.984572714802</v>
      </c>
      <c r="V16" s="14">
        <f t="shared" si="19"/>
        <v>39806.276991245591</v>
      </c>
      <c r="W16" s="14">
        <f t="shared" si="20"/>
        <v>53359.620631696504</v>
      </c>
      <c r="X16" s="14">
        <f t="shared" si="21"/>
        <v>28265.705777417123</v>
      </c>
      <c r="Y16" s="15">
        <f t="shared" si="22"/>
        <v>4.5035935237246649</v>
      </c>
      <c r="Z16" s="14">
        <f t="shared" si="23"/>
        <v>62582.917122599196</v>
      </c>
      <c r="AA16" s="13">
        <f t="shared" si="24"/>
        <v>13.219746339749406</v>
      </c>
      <c r="AC16">
        <f t="shared" si="25"/>
        <v>4041.4958706722118</v>
      </c>
      <c r="AD16">
        <f t="shared" si="26"/>
        <v>7.1622138574516319</v>
      </c>
    </row>
    <row r="17" spans="1:30" ht="12" customHeight="1">
      <c r="B17" s="8">
        <f t="shared" si="27"/>
        <v>174.370417487048</v>
      </c>
      <c r="C17">
        <f t="shared" si="0"/>
        <v>627.73350295337286</v>
      </c>
      <c r="D17">
        <f t="shared" si="1"/>
        <v>18623.088527947042</v>
      </c>
      <c r="E17">
        <f t="shared" si="2"/>
        <v>0.35117698067029224</v>
      </c>
      <c r="F17">
        <f t="shared" si="3"/>
        <v>2.4271798206907481E-2</v>
      </c>
      <c r="G17" s="7">
        <f t="shared" si="4"/>
        <v>24881.606242552531</v>
      </c>
      <c r="H17" s="8">
        <f t="shared" si="5"/>
        <v>14.468519294559362</v>
      </c>
      <c r="I17" s="7">
        <f t="shared" si="6"/>
        <v>24881.606242552534</v>
      </c>
      <c r="J17" s="7">
        <f t="shared" si="7"/>
        <v>42561.823629652426</v>
      </c>
      <c r="K17" s="7">
        <f t="shared" si="8"/>
        <v>57053.382881571619</v>
      </c>
      <c r="L17" s="10">
        <f t="shared" si="9"/>
        <v>0.51240204962400238</v>
      </c>
      <c r="M17">
        <f t="shared" si="10"/>
        <v>51704.355899204478</v>
      </c>
      <c r="N17">
        <f t="shared" si="11"/>
        <v>0.49715726826158152</v>
      </c>
      <c r="O17">
        <f t="shared" si="12"/>
        <v>118557.79667139916</v>
      </c>
      <c r="P17" s="7">
        <f t="shared" si="13"/>
        <v>26822.749656651948</v>
      </c>
      <c r="Q17" s="8">
        <f t="shared" si="14"/>
        <v>4.2732476329907012</v>
      </c>
      <c r="R17" s="7">
        <f t="shared" si="15"/>
        <v>61504.413789827544</v>
      </c>
      <c r="S17">
        <f t="shared" si="16"/>
        <v>12.991927932724927</v>
      </c>
      <c r="T17" s="13">
        <f t="shared" si="17"/>
        <v>2.4271798206907485E-2</v>
      </c>
      <c r="U17" s="13">
        <f t="shared" si="18"/>
        <v>24881.606242552534</v>
      </c>
      <c r="V17" s="14">
        <f t="shared" si="19"/>
        <v>42561.823629652434</v>
      </c>
      <c r="W17" s="14">
        <f t="shared" si="20"/>
        <v>57053.382881571626</v>
      </c>
      <c r="X17" s="14">
        <f t="shared" si="21"/>
        <v>26822.749656651944</v>
      </c>
      <c r="Y17" s="15">
        <f t="shared" si="22"/>
        <v>4.2732476329907003</v>
      </c>
      <c r="Z17" s="14">
        <f t="shared" si="23"/>
        <v>61504.413789827537</v>
      </c>
      <c r="AA17" s="13">
        <f t="shared" si="24"/>
        <v>12.991927932724924</v>
      </c>
      <c r="AC17">
        <f t="shared" si="25"/>
        <v>4054.035147332464</v>
      </c>
      <c r="AD17">
        <f t="shared" si="26"/>
        <v>6.9372226932790255</v>
      </c>
    </row>
    <row r="18" spans="1:30" ht="12" customHeight="1">
      <c r="B18" s="8">
        <f t="shared" si="27"/>
        <v>180.370417487048</v>
      </c>
      <c r="C18">
        <f t="shared" si="0"/>
        <v>649.33350295337277</v>
      </c>
      <c r="D18">
        <f t="shared" si="1"/>
        <v>19926.761096476846</v>
      </c>
      <c r="E18">
        <f t="shared" si="2"/>
        <v>0.32820185720780803</v>
      </c>
      <c r="F18">
        <f t="shared" si="3"/>
        <v>2.3478000455847643E-2</v>
      </c>
      <c r="G18" s="7">
        <f t="shared" si="4"/>
        <v>25752.688409540391</v>
      </c>
      <c r="H18" s="8">
        <f t="shared" si="5"/>
        <v>13.979123044358879</v>
      </c>
      <c r="I18" s="7">
        <f t="shared" si="6"/>
        <v>25752.688409540398</v>
      </c>
      <c r="J18" s="7">
        <f t="shared" si="7"/>
        <v>45567.677198056525</v>
      </c>
      <c r="K18" s="7">
        <f t="shared" si="8"/>
        <v>61082.677209191053</v>
      </c>
      <c r="L18" s="10">
        <f t="shared" si="9"/>
        <v>0.53003355124022333</v>
      </c>
      <c r="M18">
        <f t="shared" si="10"/>
        <v>51073.127576652987</v>
      </c>
      <c r="N18">
        <f t="shared" si="11"/>
        <v>0.49108776516012487</v>
      </c>
      <c r="O18">
        <f t="shared" si="12"/>
        <v>121140.10452876851</v>
      </c>
      <c r="P18" s="7">
        <f t="shared" si="13"/>
        <v>25320.439167112596</v>
      </c>
      <c r="Q18" s="8">
        <f t="shared" si="14"/>
        <v>4.0335001607693135</v>
      </c>
      <c r="R18" s="7">
        <f t="shared" si="15"/>
        <v>60057.427319577459</v>
      </c>
      <c r="S18">
        <f t="shared" si="16"/>
        <v>12.686272732020836</v>
      </c>
      <c r="T18" s="13">
        <f t="shared" si="17"/>
        <v>2.347800045584765E-2</v>
      </c>
      <c r="U18" s="13">
        <f t="shared" si="18"/>
        <v>25752.688409540398</v>
      </c>
      <c r="V18" s="14">
        <f t="shared" si="19"/>
        <v>45567.677198056532</v>
      </c>
      <c r="W18" s="14">
        <f t="shared" si="20"/>
        <v>61082.677209191061</v>
      </c>
      <c r="X18" s="14">
        <f t="shared" si="21"/>
        <v>25320.439167112589</v>
      </c>
      <c r="Y18" s="15">
        <f t="shared" si="22"/>
        <v>4.0335001607693126</v>
      </c>
      <c r="Z18" s="14">
        <f t="shared" si="23"/>
        <v>60057.427319577451</v>
      </c>
      <c r="AA18" s="13">
        <f t="shared" si="24"/>
        <v>12.686272732020834</v>
      </c>
      <c r="AC18">
        <f t="shared" si="25"/>
        <v>4051.686669196215</v>
      </c>
      <c r="AD18">
        <f t="shared" si="26"/>
        <v>6.7025718140993478</v>
      </c>
    </row>
    <row r="19" spans="1:30" ht="12" customHeight="1">
      <c r="B19" s="8">
        <f t="shared" si="27"/>
        <v>186.370417487048</v>
      </c>
      <c r="C19">
        <f t="shared" si="0"/>
        <v>670.93350295337279</v>
      </c>
      <c r="D19">
        <f t="shared" si="1"/>
        <v>21274.533665006649</v>
      </c>
      <c r="E19">
        <f t="shared" si="2"/>
        <v>0.30740979346387737</v>
      </c>
      <c r="F19">
        <f t="shared" si="3"/>
        <v>2.2805907346813745E-2</v>
      </c>
      <c r="G19" s="7">
        <f t="shared" si="4"/>
        <v>26707.433593255675</v>
      </c>
      <c r="H19" s="8">
        <f t="shared" si="5"/>
        <v>13.479393246190057</v>
      </c>
      <c r="I19" s="7">
        <f t="shared" si="6"/>
        <v>26707.433593255675</v>
      </c>
      <c r="J19" s="7">
        <f t="shared" si="7"/>
        <v>48829.035133558005</v>
      </c>
      <c r="K19" s="7">
        <f t="shared" si="8"/>
        <v>65454.47068841556</v>
      </c>
      <c r="L19" s="10">
        <f t="shared" si="9"/>
        <v>0.54766505285644429</v>
      </c>
      <c r="M19">
        <f t="shared" si="10"/>
        <v>50472.005382477444</v>
      </c>
      <c r="N19">
        <f t="shared" si="11"/>
        <v>0.48530774406228311</v>
      </c>
      <c r="O19">
        <f t="shared" si="12"/>
        <v>123696.58751963243</v>
      </c>
      <c r="P19" s="7">
        <f t="shared" si="13"/>
        <v>23764.571789221769</v>
      </c>
      <c r="Q19" s="8">
        <f t="shared" si="14"/>
        <v>3.7852802495293303</v>
      </c>
      <c r="R19" s="7">
        <f t="shared" si="15"/>
        <v>58242.116831216874</v>
      </c>
      <c r="S19">
        <f t="shared" si="16"/>
        <v>12.302814349328289</v>
      </c>
      <c r="T19" s="13">
        <f t="shared" si="17"/>
        <v>2.2805907346813745E-2</v>
      </c>
      <c r="U19" s="13">
        <f t="shared" si="18"/>
        <v>26707.433593255675</v>
      </c>
      <c r="V19" s="14">
        <f t="shared" si="19"/>
        <v>48829.035133558005</v>
      </c>
      <c r="W19" s="14">
        <f t="shared" si="20"/>
        <v>65454.47068841556</v>
      </c>
      <c r="X19" s="14">
        <f t="shared" si="21"/>
        <v>23764.571789221769</v>
      </c>
      <c r="Y19" s="15">
        <f t="shared" si="22"/>
        <v>3.7852802495293303</v>
      </c>
      <c r="Z19" s="14">
        <f t="shared" si="23"/>
        <v>58242.116831216874</v>
      </c>
      <c r="AA19" s="13">
        <f t="shared" si="24"/>
        <v>12.302814349328289</v>
      </c>
      <c r="AC19">
        <f t="shared" si="25"/>
        <v>4036.8065334300109</v>
      </c>
      <c r="AD19">
        <f t="shared" si="26"/>
        <v>6.4629663074274895</v>
      </c>
    </row>
    <row r="20" spans="1:30" ht="12" customHeight="1">
      <c r="B20" s="8">
        <f t="shared" si="27"/>
        <v>192.370417487048</v>
      </c>
      <c r="C20">
        <f t="shared" si="0"/>
        <v>692.53350295337282</v>
      </c>
      <c r="D20">
        <f t="shared" si="1"/>
        <v>22666.406233536451</v>
      </c>
      <c r="E20">
        <f t="shared" si="2"/>
        <v>0.28853272691829002</v>
      </c>
      <c r="F20">
        <f t="shared" si="3"/>
        <v>2.2233798220573447E-2</v>
      </c>
      <c r="G20" s="7">
        <f t="shared" si="4"/>
        <v>27740.934087082434</v>
      </c>
      <c r="H20" s="8">
        <f t="shared" si="5"/>
        <v>12.977212622686483</v>
      </c>
      <c r="I20" s="7">
        <f t="shared" si="6"/>
        <v>27740.934087082442</v>
      </c>
      <c r="J20" s="7">
        <f t="shared" si="7"/>
        <v>52351.409054482872</v>
      </c>
      <c r="K20" s="7">
        <f t="shared" si="8"/>
        <v>70176.151547564179</v>
      </c>
      <c r="L20" s="10">
        <f t="shared" si="9"/>
        <v>0.56529655447266525</v>
      </c>
      <c r="M20">
        <f t="shared" si="10"/>
        <v>49900.989316677857</v>
      </c>
      <c r="N20">
        <f t="shared" si="11"/>
        <v>0.4798172049680563</v>
      </c>
      <c r="O20">
        <f t="shared" si="12"/>
        <v>126234.37183721967</v>
      </c>
      <c r="P20" s="7">
        <f t="shared" si="13"/>
        <v>22160.055229595422</v>
      </c>
      <c r="Q20" s="8">
        <f t="shared" si="14"/>
        <v>3.5293733828118343</v>
      </c>
      <c r="R20" s="7">
        <f t="shared" si="15"/>
        <v>56058.220289655495</v>
      </c>
      <c r="S20">
        <f t="shared" si="16"/>
        <v>11.841497433481425</v>
      </c>
      <c r="T20" s="13">
        <f t="shared" si="17"/>
        <v>2.2233798220573447E-2</v>
      </c>
      <c r="U20" s="13">
        <f t="shared" si="18"/>
        <v>27740.934087082442</v>
      </c>
      <c r="V20" s="14">
        <f t="shared" si="19"/>
        <v>52351.409054482887</v>
      </c>
      <c r="W20" s="14">
        <f t="shared" si="20"/>
        <v>70176.151547564194</v>
      </c>
      <c r="X20" s="14">
        <f t="shared" si="21"/>
        <v>22160.055229595415</v>
      </c>
      <c r="Y20" s="15">
        <f t="shared" si="22"/>
        <v>3.529373382811833</v>
      </c>
      <c r="Z20" s="14">
        <f t="shared" si="23"/>
        <v>56058.220289655481</v>
      </c>
      <c r="AA20" s="13">
        <f t="shared" si="24"/>
        <v>11.841497433481422</v>
      </c>
      <c r="AC20">
        <f t="shared" si="25"/>
        <v>4011.5325665160581</v>
      </c>
      <c r="AD20">
        <f t="shared" si="26"/>
        <v>6.2221857032364305</v>
      </c>
    </row>
    <row r="21" spans="1:30" ht="12" customHeight="1">
      <c r="B21" s="8">
        <f t="shared" si="27"/>
        <v>198.370417487048</v>
      </c>
      <c r="C21">
        <f t="shared" si="0"/>
        <v>714.13350295337284</v>
      </c>
      <c r="D21">
        <f t="shared" si="1"/>
        <v>24102.378802066254</v>
      </c>
      <c r="E21">
        <f t="shared" si="2"/>
        <v>0.27134251161297557</v>
      </c>
      <c r="F21">
        <f t="shared" si="3"/>
        <v>2.1744343442816616E-2</v>
      </c>
      <c r="G21" s="7">
        <f t="shared" si="4"/>
        <v>28849.012979504121</v>
      </c>
      <c r="H21" s="8">
        <f t="shared" si="5"/>
        <v>12.478763147140013</v>
      </c>
      <c r="I21" s="7">
        <f t="shared" si="6"/>
        <v>28849.012979504128</v>
      </c>
      <c r="J21" s="7">
        <f t="shared" si="7"/>
        <v>56140.577246056622</v>
      </c>
      <c r="K21" s="7">
        <f t="shared" si="8"/>
        <v>75255.465477287697</v>
      </c>
      <c r="L21" s="10">
        <f t="shared" si="9"/>
        <v>0.58292805608888631</v>
      </c>
      <c r="M21">
        <f t="shared" si="10"/>
        <v>49360.07937925421</v>
      </c>
      <c r="N21">
        <f t="shared" si="11"/>
        <v>0.47461614787744433</v>
      </c>
      <c r="O21">
        <f t="shared" si="12"/>
        <v>128760.58367475891</v>
      </c>
      <c r="P21" s="7">
        <f t="shared" si="13"/>
        <v>20511.066399750089</v>
      </c>
      <c r="Q21" s="8">
        <f t="shared" si="14"/>
        <v>3.2664469379991949</v>
      </c>
      <c r="R21" s="7">
        <f t="shared" si="15"/>
        <v>53505.118197471209</v>
      </c>
      <c r="S21">
        <f t="shared" si="16"/>
        <v>11.302191124508303</v>
      </c>
      <c r="T21" s="13">
        <f t="shared" si="17"/>
        <v>2.1744343442816619E-2</v>
      </c>
      <c r="U21" s="13">
        <f t="shared" si="18"/>
        <v>28849.012979504128</v>
      </c>
      <c r="V21" s="14">
        <f t="shared" si="19"/>
        <v>56140.577246056637</v>
      </c>
      <c r="W21" s="14">
        <f t="shared" si="20"/>
        <v>75255.465477287711</v>
      </c>
      <c r="X21" s="14">
        <f t="shared" si="21"/>
        <v>20511.066399750081</v>
      </c>
      <c r="Y21" s="15">
        <f t="shared" si="22"/>
        <v>3.2664469379991941</v>
      </c>
      <c r="Z21" s="14">
        <f t="shared" si="23"/>
        <v>53505.118197471194</v>
      </c>
      <c r="AA21" s="13">
        <f t="shared" si="24"/>
        <v>11.302191124508299</v>
      </c>
      <c r="AC21">
        <f t="shared" si="25"/>
        <v>3977.7644626156971</v>
      </c>
      <c r="AD21">
        <f t="shared" si="26"/>
        <v>5.9831940730069091</v>
      </c>
    </row>
    <row r="22" spans="1:30" ht="12" customHeight="1">
      <c r="B22" s="8">
        <f t="shared" si="27"/>
        <v>204.370417487048</v>
      </c>
      <c r="C22">
        <f t="shared" si="0"/>
        <v>735.73350295337286</v>
      </c>
      <c r="D22">
        <f t="shared" si="1"/>
        <v>25582.45137059606</v>
      </c>
      <c r="E22">
        <f t="shared" si="2"/>
        <v>0.2556439922531013</v>
      </c>
      <c r="F22">
        <f t="shared" si="3"/>
        <v>2.132361857614809E-2</v>
      </c>
      <c r="G22" s="7">
        <f t="shared" si="4"/>
        <v>30028.097354281497</v>
      </c>
      <c r="H22" s="8">
        <f t="shared" si="5"/>
        <v>11.988771574588959</v>
      </c>
      <c r="I22" s="7">
        <f t="shared" si="6"/>
        <v>30028.097354281501</v>
      </c>
      <c r="J22" s="7">
        <f t="shared" si="7"/>
        <v>60202.545515761434</v>
      </c>
      <c r="K22" s="7">
        <f t="shared" si="8"/>
        <v>80700.463157857157</v>
      </c>
      <c r="L22" s="10">
        <f t="shared" si="9"/>
        <v>0.60055955770510727</v>
      </c>
      <c r="M22">
        <f t="shared" si="10"/>
        <v>48849.275570206519</v>
      </c>
      <c r="N22">
        <f t="shared" si="11"/>
        <v>0.46970457279044731</v>
      </c>
      <c r="O22">
        <f t="shared" si="12"/>
        <v>131282.34922547889</v>
      </c>
      <c r="P22" s="7">
        <f t="shared" si="13"/>
        <v>18821.178215925022</v>
      </c>
      <c r="Q22" s="8">
        <f t="shared" si="14"/>
        <v>2.9970705778342617</v>
      </c>
      <c r="R22" s="7">
        <f t="shared" si="15"/>
        <v>50581.88606762173</v>
      </c>
      <c r="S22">
        <f t="shared" si="16"/>
        <v>10.684700137740913</v>
      </c>
      <c r="T22" s="13">
        <f t="shared" si="17"/>
        <v>2.1323618576148087E-2</v>
      </c>
      <c r="U22" s="13">
        <f t="shared" si="18"/>
        <v>30028.097354281501</v>
      </c>
      <c r="V22" s="14">
        <f t="shared" si="19"/>
        <v>60202.545515761434</v>
      </c>
      <c r="W22" s="14">
        <f t="shared" si="20"/>
        <v>80700.463157857157</v>
      </c>
      <c r="X22" s="14">
        <f t="shared" si="21"/>
        <v>18821.178215925018</v>
      </c>
      <c r="Y22" s="15">
        <f t="shared" si="22"/>
        <v>2.9970705778342612</v>
      </c>
      <c r="Z22" s="14">
        <f t="shared" si="23"/>
        <v>50581.88606762173</v>
      </c>
      <c r="AA22" s="13">
        <f t="shared" si="24"/>
        <v>10.684700137740913</v>
      </c>
      <c r="AC22">
        <f t="shared" si="25"/>
        <v>3937.1624286431024</v>
      </c>
      <c r="AD22">
        <f t="shared" si="26"/>
        <v>5.7482577545479199</v>
      </c>
    </row>
    <row r="23" spans="1:30" ht="12" customHeight="1">
      <c r="B23" s="8">
        <f t="shared" si="27"/>
        <v>210.370417487048</v>
      </c>
      <c r="C23">
        <f t="shared" si="0"/>
        <v>757.33350295337277</v>
      </c>
      <c r="D23">
        <f t="shared" si="1"/>
        <v>27106.62393912586</v>
      </c>
      <c r="E23">
        <f t="shared" si="2"/>
        <v>0.24126944080852963</v>
      </c>
      <c r="F23">
        <f t="shared" si="3"/>
        <v>2.0960360704404078E-2</v>
      </c>
      <c r="G23" s="7">
        <f t="shared" si="4"/>
        <v>31275.116435378673</v>
      </c>
      <c r="H23" s="8">
        <f t="shared" si="5"/>
        <v>11.510748512922079</v>
      </c>
      <c r="I23" s="7">
        <f t="shared" si="6"/>
        <v>31275.116435378677</v>
      </c>
      <c r="J23" s="7">
        <f t="shared" si="7"/>
        <v>64543.514747387817</v>
      </c>
      <c r="K23" s="7">
        <f t="shared" si="8"/>
        <v>86519.456765935407</v>
      </c>
      <c r="L23" s="10">
        <f t="shared" si="9"/>
        <v>0.61819105932132823</v>
      </c>
      <c r="M23">
        <f t="shared" si="10"/>
        <v>48368.577889534776</v>
      </c>
      <c r="N23">
        <f t="shared" si="11"/>
        <v>0.46508247970706518</v>
      </c>
      <c r="O23">
        <f t="shared" si="12"/>
        <v>133806.79468260836</v>
      </c>
      <c r="P23" s="7">
        <f t="shared" si="13"/>
        <v>17093.461454156102</v>
      </c>
      <c r="Q23" s="8">
        <f t="shared" si="14"/>
        <v>2.7217326378201059</v>
      </c>
      <c r="R23" s="7">
        <f t="shared" si="15"/>
        <v>47287.337916672957</v>
      </c>
      <c r="S23">
        <f t="shared" si="16"/>
        <v>9.9887739511377358</v>
      </c>
      <c r="T23" s="13">
        <f t="shared" si="17"/>
        <v>2.0960360704404081E-2</v>
      </c>
      <c r="U23" s="13">
        <f t="shared" si="18"/>
        <v>31275.116435378677</v>
      </c>
      <c r="V23" s="14">
        <f t="shared" si="19"/>
        <v>64543.514747387831</v>
      </c>
      <c r="W23" s="14">
        <f t="shared" si="20"/>
        <v>86519.456765935436</v>
      </c>
      <c r="X23" s="14">
        <f t="shared" si="21"/>
        <v>17093.461454156099</v>
      </c>
      <c r="Y23" s="15">
        <f t="shared" si="22"/>
        <v>2.721732637820105</v>
      </c>
      <c r="Z23" s="14">
        <f t="shared" si="23"/>
        <v>47287.337916672928</v>
      </c>
      <c r="AA23" s="13">
        <f t="shared" si="24"/>
        <v>9.9887739511377287</v>
      </c>
      <c r="AC23">
        <f t="shared" si="25"/>
        <v>3891.1578492080162</v>
      </c>
      <c r="AD23">
        <f t="shared" si="26"/>
        <v>5.519059979447797</v>
      </c>
    </row>
    <row r="24" spans="1:30" ht="12" customHeight="1">
      <c r="B24" s="8">
        <f t="shared" si="27"/>
        <v>216.370417487048</v>
      </c>
      <c r="C24">
        <f t="shared" si="0"/>
        <v>778.93350295337279</v>
      </c>
      <c r="D24">
        <f t="shared" si="1"/>
        <v>28674.896507655663</v>
      </c>
      <c r="E24">
        <f t="shared" si="2"/>
        <v>0.22807405767807881</v>
      </c>
      <c r="F24">
        <f t="shared" si="3"/>
        <v>2.0645402586702121E-2</v>
      </c>
      <c r="G24" s="7">
        <f t="shared" si="4"/>
        <v>32587.419221976321</v>
      </c>
      <c r="H24" s="8">
        <f t="shared" si="5"/>
        <v>11.047208051296769</v>
      </c>
      <c r="I24" s="7">
        <f t="shared" si="6"/>
        <v>32587.419221976328</v>
      </c>
      <c r="J24" s="7">
        <f t="shared" si="7"/>
        <v>69169.853853486653</v>
      </c>
      <c r="K24" s="7">
        <f t="shared" si="8"/>
        <v>92720.983717810523</v>
      </c>
      <c r="L24" s="10">
        <f t="shared" si="9"/>
        <v>0.63582256093754919</v>
      </c>
      <c r="M24">
        <f t="shared" si="10"/>
        <v>47917.986337238974</v>
      </c>
      <c r="N24">
        <f t="shared" si="11"/>
        <v>0.46074986862729783</v>
      </c>
      <c r="O24">
        <f t="shared" si="12"/>
        <v>136341.04623937595</v>
      </c>
      <c r="P24" s="7">
        <f t="shared" si="13"/>
        <v>15330.567115262653</v>
      </c>
      <c r="Q24" s="8">
        <f t="shared" si="14"/>
        <v>2.4408533828013272</v>
      </c>
      <c r="R24" s="7">
        <f t="shared" si="15"/>
        <v>43620.062521565429</v>
      </c>
      <c r="S24">
        <f t="shared" si="16"/>
        <v>9.2141144640071957</v>
      </c>
      <c r="T24" s="13">
        <f t="shared" si="17"/>
        <v>2.0645402586702125E-2</v>
      </c>
      <c r="U24" s="13">
        <f t="shared" si="18"/>
        <v>32587.419221976328</v>
      </c>
      <c r="V24" s="14">
        <f t="shared" si="19"/>
        <v>69169.853853486653</v>
      </c>
      <c r="W24" s="14">
        <f t="shared" si="20"/>
        <v>92720.983717810523</v>
      </c>
      <c r="X24" s="14">
        <f t="shared" si="21"/>
        <v>15330.567115262646</v>
      </c>
      <c r="Y24" s="15">
        <f t="shared" si="22"/>
        <v>2.4408533828013259</v>
      </c>
      <c r="Z24" s="14">
        <f t="shared" si="23"/>
        <v>43620.062521565429</v>
      </c>
      <c r="AA24" s="13">
        <f t="shared" si="24"/>
        <v>9.2141144640071957</v>
      </c>
      <c r="AC24">
        <f t="shared" si="25"/>
        <v>3840.9710215257505</v>
      </c>
      <c r="AD24">
        <f t="shared" si="26"/>
        <v>5.2968061783384224</v>
      </c>
    </row>
    <row r="25" spans="1:30" ht="12" customHeight="1">
      <c r="B25" s="8">
        <f t="shared" si="27"/>
        <v>222.370417487048</v>
      </c>
      <c r="C25">
        <f t="shared" si="0"/>
        <v>800.53350295337282</v>
      </c>
      <c r="D25">
        <f t="shared" si="1"/>
        <v>30287.269076185468</v>
      </c>
      <c r="E25">
        <f t="shared" si="2"/>
        <v>0.21593231081841996</v>
      </c>
      <c r="F25">
        <f t="shared" si="3"/>
        <v>2.037123862379716E-2</v>
      </c>
      <c r="G25" s="7">
        <f t="shared" si="4"/>
        <v>33962.707464997802</v>
      </c>
      <c r="H25" s="8">
        <f t="shared" si="5"/>
        <v>10.599861638563958</v>
      </c>
      <c r="I25" s="7">
        <f t="shared" si="6"/>
        <v>33962.707464997802</v>
      </c>
      <c r="J25" s="7">
        <f t="shared" si="7"/>
        <v>74088.077106603843</v>
      </c>
      <c r="K25" s="7">
        <f t="shared" si="8"/>
        <v>99313.776282310777</v>
      </c>
      <c r="L25" s="10">
        <f t="shared" si="9"/>
        <v>0.65345406255377014</v>
      </c>
      <c r="M25">
        <f t="shared" si="10"/>
        <v>47497.500913319127</v>
      </c>
      <c r="N25">
        <f t="shared" si="11"/>
        <v>0.45670673955114544</v>
      </c>
      <c r="O25">
        <f t="shared" si="12"/>
        <v>138892.23008901044</v>
      </c>
      <c r="P25" s="7">
        <f t="shared" si="13"/>
        <v>13534.793448321325</v>
      </c>
      <c r="Q25" s="8">
        <f t="shared" si="14"/>
        <v>2.1547957974855234</v>
      </c>
      <c r="R25" s="7">
        <f t="shared" si="15"/>
        <v>39578.453806699661</v>
      </c>
      <c r="S25">
        <f t="shared" si="16"/>
        <v>8.3603824158449278</v>
      </c>
      <c r="T25" s="13">
        <f t="shared" si="17"/>
        <v>2.037123862379716E-2</v>
      </c>
      <c r="U25" s="13">
        <f t="shared" si="18"/>
        <v>33962.707464997802</v>
      </c>
      <c r="V25" s="14">
        <f t="shared" si="19"/>
        <v>74088.077106603843</v>
      </c>
      <c r="W25" s="14">
        <f t="shared" si="20"/>
        <v>99313.776282310777</v>
      </c>
      <c r="X25" s="14">
        <f t="shared" si="21"/>
        <v>13534.793448321325</v>
      </c>
      <c r="Y25" s="15">
        <f t="shared" si="22"/>
        <v>2.1547957974855234</v>
      </c>
      <c r="Z25" s="14">
        <f t="shared" si="23"/>
        <v>39578.453806699661</v>
      </c>
      <c r="AA25" s="13">
        <f t="shared" si="24"/>
        <v>8.3603824158449278</v>
      </c>
      <c r="AC25">
        <f t="shared" si="25"/>
        <v>3787.6323943255024</v>
      </c>
      <c r="AD25">
        <f t="shared" si="26"/>
        <v>5.0823169398070149</v>
      </c>
    </row>
    <row r="26" spans="1:30" ht="12" customHeight="1">
      <c r="B26" s="8">
        <f t="shared" si="27"/>
        <v>228.370417487048</v>
      </c>
      <c r="C26">
        <f t="shared" si="0"/>
        <v>822.13350295337284</v>
      </c>
      <c r="D26">
        <f t="shared" si="1"/>
        <v>31943.741644715272</v>
      </c>
      <c r="E26">
        <f t="shared" si="2"/>
        <v>0.20473493909195728</v>
      </c>
      <c r="F26">
        <f t="shared" si="3"/>
        <v>2.0131689385737339E-2</v>
      </c>
      <c r="G26" s="7">
        <f t="shared" si="4"/>
        <v>35398.980804200924</v>
      </c>
      <c r="H26" s="8">
        <f t="shared" si="5"/>
        <v>10.169784322075099</v>
      </c>
      <c r="I26" s="7">
        <f t="shared" si="6"/>
        <v>35398.980804200932</v>
      </c>
      <c r="J26" s="7">
        <f t="shared" si="7"/>
        <v>79304.825043988079</v>
      </c>
      <c r="K26" s="7">
        <f t="shared" si="8"/>
        <v>106306.73598389824</v>
      </c>
      <c r="L26" s="10">
        <f t="shared" si="9"/>
        <v>0.67108556416999121</v>
      </c>
      <c r="M26">
        <f t="shared" si="10"/>
        <v>47107.121617775229</v>
      </c>
      <c r="N26">
        <f t="shared" si="11"/>
        <v>0.45295309247860799</v>
      </c>
      <c r="O26">
        <f t="shared" si="12"/>
        <v>141467.47242474058</v>
      </c>
      <c r="P26" s="7">
        <f t="shared" si="13"/>
        <v>11708.140813574304</v>
      </c>
      <c r="Q26" s="8">
        <f t="shared" si="14"/>
        <v>1.8638744210113076</v>
      </c>
      <c r="R26" s="7">
        <f t="shared" si="15"/>
        <v>35160.736440842345</v>
      </c>
      <c r="S26">
        <f t="shared" si="16"/>
        <v>7.4272027933141889</v>
      </c>
      <c r="T26" s="13">
        <f t="shared" si="17"/>
        <v>2.0131689385737343E-2</v>
      </c>
      <c r="U26" s="13">
        <f t="shared" si="18"/>
        <v>35398.980804200932</v>
      </c>
      <c r="V26" s="14">
        <f t="shared" si="19"/>
        <v>79304.825043988094</v>
      </c>
      <c r="W26" s="14">
        <f t="shared" si="20"/>
        <v>106306.73598389825</v>
      </c>
      <c r="X26" s="14">
        <f t="shared" si="21"/>
        <v>11708.140813574297</v>
      </c>
      <c r="Y26" s="15">
        <f t="shared" si="22"/>
        <v>1.8638744210113058</v>
      </c>
      <c r="Z26" s="14">
        <f t="shared" si="23"/>
        <v>35160.736440842331</v>
      </c>
      <c r="AA26" s="13">
        <f t="shared" si="24"/>
        <v>7.4272027933141862</v>
      </c>
      <c r="AC26">
        <f t="shared" si="25"/>
        <v>3732.0048794526942</v>
      </c>
      <c r="AD26">
        <f t="shared" si="26"/>
        <v>4.8761077169369882</v>
      </c>
    </row>
    <row r="27" spans="1:30" ht="12" customHeight="1">
      <c r="B27" s="8">
        <f t="shared" si="27"/>
        <v>234.370417487048</v>
      </c>
      <c r="C27">
        <f t="shared" si="0"/>
        <v>843.73350295337286</v>
      </c>
      <c r="D27">
        <f t="shared" si="1"/>
        <v>33644.314213245074</v>
      </c>
      <c r="E27">
        <f t="shared" si="2"/>
        <v>0.19438648559004768</v>
      </c>
      <c r="F27">
        <f t="shared" si="3"/>
        <v>1.9921640448135797E-2</v>
      </c>
      <c r="G27" s="7">
        <f t="shared" si="4"/>
        <v>36894.491608093937</v>
      </c>
      <c r="H27" s="8">
        <f t="shared" si="5"/>
        <v>9.7575541580581913</v>
      </c>
      <c r="I27" s="7">
        <f t="shared" si="6"/>
        <v>36894.491608093937</v>
      </c>
      <c r="J27" s="7">
        <f t="shared" si="7"/>
        <v>84826.848305392996</v>
      </c>
      <c r="K27" s="7">
        <f t="shared" si="8"/>
        <v>113708.91193752413</v>
      </c>
      <c r="L27" s="10">
        <f t="shared" si="9"/>
        <v>0.68871706578621217</v>
      </c>
      <c r="M27">
        <f t="shared" si="10"/>
        <v>46746.848450607285</v>
      </c>
      <c r="N27">
        <f t="shared" si="11"/>
        <v>0.44948892740968543</v>
      </c>
      <c r="O27">
        <f t="shared" si="12"/>
        <v>144073.89943979509</v>
      </c>
      <c r="P27" s="7">
        <f t="shared" si="13"/>
        <v>9852.356842513349</v>
      </c>
      <c r="Q27" s="8">
        <f t="shared" si="14"/>
        <v>1.5683626199763763</v>
      </c>
      <c r="R27" s="7">
        <f t="shared" si="15"/>
        <v>30364.98750227096</v>
      </c>
      <c r="S27">
        <f t="shared" si="16"/>
        <v>6.4141694066978525</v>
      </c>
      <c r="T27" s="13">
        <f t="shared" si="17"/>
        <v>1.99216404481358E-2</v>
      </c>
      <c r="U27" s="13">
        <f t="shared" si="18"/>
        <v>36894.491608093937</v>
      </c>
      <c r="V27" s="14">
        <f t="shared" si="19"/>
        <v>84826.848305392996</v>
      </c>
      <c r="W27" s="14">
        <f t="shared" si="20"/>
        <v>113708.91193752413</v>
      </c>
      <c r="X27" s="14">
        <f t="shared" si="21"/>
        <v>9852.356842513349</v>
      </c>
      <c r="Y27" s="15">
        <f t="shared" si="22"/>
        <v>1.5683626199763763</v>
      </c>
      <c r="Z27" s="14">
        <f t="shared" si="23"/>
        <v>30364.98750227096</v>
      </c>
      <c r="AA27" s="13">
        <f t="shared" si="24"/>
        <v>6.4141694066978525</v>
      </c>
      <c r="AC27">
        <f t="shared" si="25"/>
        <v>3674.8056762676847</v>
      </c>
      <c r="AD27">
        <f t="shared" si="26"/>
        <v>4.6784556704177858</v>
      </c>
    </row>
    <row r="28" spans="1:30" ht="12" customHeight="1">
      <c r="B28" s="8">
        <f t="shared" si="27"/>
        <v>240.370417487048</v>
      </c>
      <c r="C28">
        <f t="shared" si="0"/>
        <v>865.33350295337277</v>
      </c>
      <c r="D28">
        <f t="shared" si="1"/>
        <v>35388.986781774875</v>
      </c>
      <c r="E28">
        <f t="shared" si="2"/>
        <v>0.18480325645740336</v>
      </c>
      <c r="F28">
        <f t="shared" si="3"/>
        <v>1.9736837690369598E-2</v>
      </c>
      <c r="G28" s="7">
        <f t="shared" si="4"/>
        <v>38447.707603955554</v>
      </c>
      <c r="H28" s="8">
        <f t="shared" si="5"/>
        <v>9.3633670883140692</v>
      </c>
      <c r="I28" s="7">
        <f t="shared" si="6"/>
        <v>38447.707603955554</v>
      </c>
      <c r="J28" s="7">
        <f t="shared" si="7"/>
        <v>90660.993891472739</v>
      </c>
      <c r="K28" s="7">
        <f t="shared" si="8"/>
        <v>121529.48242824763</v>
      </c>
      <c r="L28" s="10">
        <f t="shared" si="9"/>
        <v>0.70634856740243313</v>
      </c>
      <c r="M28">
        <f t="shared" si="10"/>
        <v>46416.681411815291</v>
      </c>
      <c r="N28">
        <f t="shared" si="11"/>
        <v>0.44631424434437778</v>
      </c>
      <c r="O28">
        <f t="shared" si="12"/>
        <v>146718.63732740263</v>
      </c>
      <c r="P28" s="7">
        <f t="shared" si="13"/>
        <v>7968.9738078597366</v>
      </c>
      <c r="Q28" s="8">
        <f t="shared" si="14"/>
        <v>1.2684986070767905</v>
      </c>
      <c r="R28" s="7">
        <f t="shared" si="15"/>
        <v>25189.154899154993</v>
      </c>
      <c r="S28">
        <f t="shared" si="16"/>
        <v>5.320848780940544</v>
      </c>
      <c r="T28" s="13">
        <f t="shared" si="17"/>
        <v>1.9736837690369598E-2</v>
      </c>
      <c r="U28" s="13">
        <f t="shared" si="18"/>
        <v>38447.707603955554</v>
      </c>
      <c r="V28" s="14">
        <f t="shared" si="19"/>
        <v>90660.993891472739</v>
      </c>
      <c r="W28" s="14">
        <f t="shared" si="20"/>
        <v>121529.48242824763</v>
      </c>
      <c r="X28" s="14">
        <f t="shared" si="21"/>
        <v>7968.9738078597366</v>
      </c>
      <c r="Y28" s="15">
        <f t="shared" si="22"/>
        <v>1.2684986070767905</v>
      </c>
      <c r="Z28" s="14">
        <f t="shared" si="23"/>
        <v>25189.154899154993</v>
      </c>
      <c r="AA28" s="13">
        <f t="shared" si="24"/>
        <v>5.320848780940544</v>
      </c>
      <c r="AC28">
        <f t="shared" si="25"/>
        <v>3616.6266845421032</v>
      </c>
      <c r="AD28">
        <f t="shared" si="26"/>
        <v>4.4894547484883143</v>
      </c>
    </row>
    <row r="29" spans="1:30" ht="12" customHeight="1">
      <c r="B29" s="8">
        <f t="shared" si="27"/>
        <v>246.370417487048</v>
      </c>
      <c r="C29">
        <f t="shared" si="0"/>
        <v>886.93350295337279</v>
      </c>
      <c r="D29">
        <f t="shared" si="1"/>
        <v>37177.759350304681</v>
      </c>
      <c r="E29">
        <f t="shared" si="2"/>
        <v>0.17591162335463351</v>
      </c>
      <c r="F29">
        <f t="shared" si="3"/>
        <v>1.9573725812668325E-2</v>
      </c>
      <c r="G29" s="7">
        <f t="shared" si="4"/>
        <v>40057.280799205313</v>
      </c>
      <c r="H29" s="8">
        <f t="shared" si="5"/>
        <v>8.9871302499180619</v>
      </c>
      <c r="I29" s="7">
        <f t="shared" si="6"/>
        <v>40057.280799205313</v>
      </c>
      <c r="J29" s="7">
        <f t="shared" si="7"/>
        <v>96814.193430120984</v>
      </c>
      <c r="K29" s="7">
        <f t="shared" si="8"/>
        <v>129777.73918246781</v>
      </c>
      <c r="L29" s="10">
        <f t="shared" si="9"/>
        <v>0.72398006901865408</v>
      </c>
      <c r="M29">
        <f t="shared" si="10"/>
        <v>46116.620501399244</v>
      </c>
      <c r="N29">
        <f t="shared" si="11"/>
        <v>0.44342904328268506</v>
      </c>
      <c r="O29">
        <f t="shared" si="12"/>
        <v>149408.81228079199</v>
      </c>
      <c r="P29" s="7">
        <f t="shared" si="13"/>
        <v>6059.3397021939309</v>
      </c>
      <c r="Q29" s="8">
        <f t="shared" si="14"/>
        <v>0.96449044617686752</v>
      </c>
      <c r="R29" s="7">
        <f t="shared" si="15"/>
        <v>19631.073098324181</v>
      </c>
      <c r="S29">
        <f t="shared" si="16"/>
        <v>4.1467834781260162</v>
      </c>
      <c r="T29" s="13">
        <f t="shared" si="17"/>
        <v>1.9573725812668325E-2</v>
      </c>
      <c r="U29" s="13">
        <f t="shared" si="18"/>
        <v>40057.280799205313</v>
      </c>
      <c r="V29" s="14">
        <f t="shared" si="19"/>
        <v>96814.193430120984</v>
      </c>
      <c r="W29" s="14">
        <f t="shared" si="20"/>
        <v>129777.73918246781</v>
      </c>
      <c r="X29" s="14">
        <f t="shared" si="21"/>
        <v>6059.3397021939309</v>
      </c>
      <c r="Y29" s="15">
        <f t="shared" si="22"/>
        <v>0.96449044617686752</v>
      </c>
      <c r="Z29" s="14">
        <f t="shared" si="23"/>
        <v>19631.073098324181</v>
      </c>
      <c r="AA29" s="13">
        <f t="shared" si="24"/>
        <v>4.1467834781260162</v>
      </c>
      <c r="AC29">
        <f t="shared" si="25"/>
        <v>3557.9530245664946</v>
      </c>
      <c r="AD29">
        <f t="shared" si="26"/>
        <v>4.3090604261508654</v>
      </c>
    </row>
    <row r="30" spans="1:30" ht="12" customHeight="1" thickBot="1">
      <c r="B30" s="8">
        <f t="shared" si="27"/>
        <v>252.370417487048</v>
      </c>
      <c r="C30">
        <f t="shared" si="0"/>
        <v>908.53350295337282</v>
      </c>
      <c r="D30">
        <f t="shared" si="1"/>
        <v>39010.631918834479</v>
      </c>
      <c r="E30">
        <f t="shared" si="2"/>
        <v>0.16764660499750741</v>
      </c>
      <c r="F30">
        <f t="shared" si="3"/>
        <v>1.9429320167059488E-2</v>
      </c>
      <c r="G30" s="7">
        <f t="shared" si="4"/>
        <v>41722.021512129097</v>
      </c>
      <c r="H30" s="8">
        <f t="shared" si="5"/>
        <v>8.6285368482287836</v>
      </c>
      <c r="I30" s="7">
        <f t="shared" si="6"/>
        <v>41722.021512129111</v>
      </c>
      <c r="J30" s="7">
        <f t="shared" si="7"/>
        <v>103293.45311658646</v>
      </c>
      <c r="K30" s="7">
        <f t="shared" si="8"/>
        <v>138463.07388282366</v>
      </c>
      <c r="L30" s="10">
        <f t="shared" si="9"/>
        <v>0.74161157063487504</v>
      </c>
      <c r="M30">
        <f t="shared" si="10"/>
        <v>45846.665719359138</v>
      </c>
      <c r="N30">
        <f t="shared" si="11"/>
        <v>0.44083332422460708</v>
      </c>
      <c r="O30">
        <f t="shared" si="12"/>
        <v>152151.55049319175</v>
      </c>
      <c r="P30" s="7">
        <f t="shared" si="13"/>
        <v>4124.6442072300415</v>
      </c>
      <c r="Q30" s="8">
        <f t="shared" si="14"/>
        <v>0.65652023383616842</v>
      </c>
      <c r="R30" s="7">
        <f>$O30-$K30</f>
        <v>13688.476610368089</v>
      </c>
      <c r="S30">
        <f t="shared" si="16"/>
        <v>2.8914949460116075</v>
      </c>
      <c r="T30" s="13">
        <f t="shared" si="17"/>
        <v>1.9429320167059495E-2</v>
      </c>
      <c r="U30" s="13">
        <f t="shared" si="18"/>
        <v>41722.021512129111</v>
      </c>
      <c r="V30" s="14">
        <f t="shared" si="19"/>
        <v>103293.45311658649</v>
      </c>
      <c r="W30" s="14">
        <f t="shared" si="20"/>
        <v>138463.07388282372</v>
      </c>
      <c r="X30" s="14">
        <f t="shared" si="21"/>
        <v>4124.644207230027</v>
      </c>
      <c r="Y30" s="15">
        <f t="shared" si="22"/>
        <v>0.6565202338361662</v>
      </c>
      <c r="Z30" s="14">
        <f t="shared" si="23"/>
        <v>13688.47661036803</v>
      </c>
      <c r="AA30" s="13">
        <f t="shared" si="24"/>
        <v>2.8914949460115955</v>
      </c>
      <c r="AC30">
        <f t="shared" si="25"/>
        <v>3499.1794783602204</v>
      </c>
      <c r="AD30">
        <f t="shared" si="26"/>
        <v>4.137125604541688</v>
      </c>
    </row>
    <row r="31" spans="1:30" s="6" customFormat="1" ht="13.5" thickBot="1">
      <c r="A31" s="5"/>
      <c r="B31" s="6" t="s">
        <v>31</v>
      </c>
      <c r="D31" s="6" t="s">
        <v>32</v>
      </c>
      <c r="G31" s="6" t="s">
        <v>33</v>
      </c>
      <c r="J31" s="6" t="s">
        <v>34</v>
      </c>
      <c r="O31" s="6" t="s">
        <v>35</v>
      </c>
    </row>
    <row r="32" spans="1:30" s="1" customFormat="1" ht="23.85" customHeight="1">
      <c r="A32" s="1" t="s">
        <v>3</v>
      </c>
      <c r="B32" s="1" t="s">
        <v>4</v>
      </c>
      <c r="D32" s="1" t="s">
        <v>8</v>
      </c>
      <c r="E32" s="1" t="s">
        <v>96</v>
      </c>
      <c r="G32" s="1" t="s">
        <v>71</v>
      </c>
      <c r="J32" s="1" t="s">
        <v>13</v>
      </c>
      <c r="K32" s="1" t="s">
        <v>14</v>
      </c>
      <c r="L32" s="1" t="s">
        <v>15</v>
      </c>
      <c r="M32" s="1" t="s">
        <v>73</v>
      </c>
      <c r="O32" s="1" t="s">
        <v>58</v>
      </c>
      <c r="P32" s="1" t="s">
        <v>16</v>
      </c>
      <c r="Q32" s="1" t="s">
        <v>70</v>
      </c>
      <c r="R32" s="1" t="s">
        <v>60</v>
      </c>
      <c r="S32" s="1" t="s">
        <v>94</v>
      </c>
    </row>
    <row r="33" spans="1:19">
      <c r="A33">
        <v>540</v>
      </c>
      <c r="B33">
        <v>65</v>
      </c>
      <c r="D33">
        <v>360000</v>
      </c>
      <c r="E33">
        <v>90000</v>
      </c>
      <c r="G33">
        <v>0</v>
      </c>
      <c r="J33">
        <v>1.7999999999999999E-2</v>
      </c>
      <c r="K33">
        <v>0.8</v>
      </c>
      <c r="L33">
        <v>1.5</v>
      </c>
      <c r="M33">
        <v>0.83</v>
      </c>
      <c r="O33">
        <v>26000</v>
      </c>
      <c r="P33">
        <v>4</v>
      </c>
      <c r="Q33">
        <v>1</v>
      </c>
      <c r="R33">
        <v>0.8</v>
      </c>
      <c r="S33">
        <v>0.6</v>
      </c>
    </row>
    <row r="34" spans="1:19" s="3" customFormat="1" ht="20.85" customHeight="1">
      <c r="A34" s="3" t="s">
        <v>5</v>
      </c>
      <c r="D34" s="3" t="s">
        <v>9</v>
      </c>
      <c r="E34" s="3" t="s">
        <v>10</v>
      </c>
      <c r="F34" s="3" t="s">
        <v>72</v>
      </c>
      <c r="G34" s="3" t="s">
        <v>6</v>
      </c>
      <c r="H34" s="3" t="s">
        <v>7</v>
      </c>
      <c r="J34" s="3" t="s">
        <v>30</v>
      </c>
      <c r="N34" s="3" t="s">
        <v>100</v>
      </c>
      <c r="O34" s="3" t="s">
        <v>59</v>
      </c>
      <c r="Q34" s="3" t="s">
        <v>61</v>
      </c>
      <c r="R34" s="3" t="s">
        <v>62</v>
      </c>
    </row>
    <row r="35" spans="1:19">
      <c r="A35">
        <f>B33^2/A33</f>
        <v>7.8240740740740744</v>
      </c>
      <c r="D35">
        <f>D33/A33</f>
        <v>666.66666666666663</v>
      </c>
      <c r="E35">
        <f>D35*9.81</f>
        <v>6540</v>
      </c>
      <c r="F35">
        <f>$G$33*0.3048</f>
        <v>0</v>
      </c>
      <c r="G35">
        <f>288-6.5*$G$33/1000</f>
        <v>288</v>
      </c>
      <c r="H35">
        <f>G35/288</f>
        <v>1</v>
      </c>
      <c r="J35">
        <f>1/(3.1415*$A$35*$K$33)</f>
        <v>5.0855742037073826E-2</v>
      </c>
      <c r="N35">
        <f>O33*P33/D33</f>
        <v>0.28888888888888886</v>
      </c>
      <c r="O35">
        <f>$O$33*$P$33</f>
        <v>104000</v>
      </c>
      <c r="Q35">
        <f>$O$35*$Q$33</f>
        <v>104000</v>
      </c>
      <c r="R35">
        <f>$Q$35*$R$33</f>
        <v>83200</v>
      </c>
    </row>
    <row r="36" spans="1:19" s="3" customFormat="1" ht="20.85" customHeight="1">
      <c r="G36" s="3" t="s">
        <v>11</v>
      </c>
      <c r="H36" s="3" t="s">
        <v>12</v>
      </c>
      <c r="J36" s="3" t="s">
        <v>63</v>
      </c>
      <c r="L36" s="3" t="s">
        <v>92</v>
      </c>
      <c r="M36" s="3" t="s">
        <v>86</v>
      </c>
    </row>
    <row r="37" spans="1:19">
      <c r="G37">
        <f>$H$35^4.256</f>
        <v>1</v>
      </c>
      <c r="H37">
        <f>1.225*$G$37</f>
        <v>1.2250000000000001</v>
      </c>
      <c r="J37">
        <f>340.3*(1-2.255*0.00001*$F$35)^0.5</f>
        <v>340.3</v>
      </c>
      <c r="L37">
        <f>$J$37*$M$33</f>
        <v>282.44900000000001</v>
      </c>
      <c r="M37">
        <f>P57</f>
        <v>50865.773435331692</v>
      </c>
    </row>
    <row r="38" spans="1:19" s="4" customFormat="1" ht="20.100000000000001" customHeight="1"/>
    <row r="39" spans="1:19">
      <c r="A39" t="s">
        <v>21</v>
      </c>
      <c r="B39">
        <f>SQRT(3.1415*$A$35*$K$33/(4*$J$33))</f>
        <v>16.525848004364995</v>
      </c>
      <c r="C39" t="s">
        <v>18</v>
      </c>
      <c r="D39">
        <f>$L$33</f>
        <v>1.5</v>
      </c>
      <c r="E39" t="s">
        <v>22</v>
      </c>
      <c r="F39">
        <f>3.6*SQRT((2/$H$37)*($E$35)*(1/$D39))</f>
        <v>303.73350295337281</v>
      </c>
      <c r="H39" t="s">
        <v>36</v>
      </c>
      <c r="I39">
        <f>$J$33+$J$35*$D39^2</f>
        <v>0.13242541958341611</v>
      </c>
      <c r="K39" t="s">
        <v>26</v>
      </c>
      <c r="L39">
        <f>$D39/$I39</f>
        <v>11.327130430990517</v>
      </c>
      <c r="M39" t="s">
        <v>40</v>
      </c>
      <c r="O39">
        <f>$D$33/$L39</f>
        <v>31782.100700019862</v>
      </c>
      <c r="Q39" t="s">
        <v>46</v>
      </c>
      <c r="R39">
        <f>($O39*$F39*9.81/3.6)/746</f>
        <v>35261.67817275109</v>
      </c>
    </row>
    <row r="40" spans="1:19">
      <c r="C40" t="s">
        <v>17</v>
      </c>
      <c r="D40">
        <f>$D$41*SQRT(3)</f>
        <v>1.0304499017419528</v>
      </c>
      <c r="E40" t="s">
        <v>23</v>
      </c>
      <c r="F40">
        <f>3.6*SQRT((2/$H$37)*($E$35)*(1/$D40))</f>
        <v>366.45857402513826</v>
      </c>
      <c r="H40" t="s">
        <v>37</v>
      </c>
      <c r="I40">
        <f>$J$33+$J$35*$D40^2</f>
        <v>7.2000000000000008E-2</v>
      </c>
      <c r="K40" t="s">
        <v>27</v>
      </c>
      <c r="L40">
        <f>$D40/$I40</f>
        <v>14.311804190860455</v>
      </c>
      <c r="M40" t="s">
        <v>41</v>
      </c>
      <c r="O40">
        <f>$D$33/$L40</f>
        <v>25154.061304856077</v>
      </c>
      <c r="Q40" t="s">
        <v>47</v>
      </c>
      <c r="R40">
        <f>($O40*$F40*9.81/3.6)/746</f>
        <v>33671.361816431396</v>
      </c>
    </row>
    <row r="41" spans="1:19">
      <c r="C41" t="s">
        <v>20</v>
      </c>
      <c r="D41">
        <f>SQRT(3.1415*$A$35*$K$33*$J$33)</f>
        <v>0.59493052815713987</v>
      </c>
      <c r="E41" t="s">
        <v>24</v>
      </c>
      <c r="F41">
        <f>3.6*SQRT((2/$H$37)*($E$35)*(1/$D41))</f>
        <v>482.28660609811175</v>
      </c>
      <c r="H41" t="s">
        <v>39</v>
      </c>
      <c r="I41">
        <f>$J$33+$J$35*$D41^2</f>
        <v>3.6000000000000004E-2</v>
      </c>
      <c r="K41" t="s">
        <v>28</v>
      </c>
      <c r="L41">
        <f>$D41/$I41</f>
        <v>16.525848004364995</v>
      </c>
      <c r="M41" t="s">
        <v>42</v>
      </c>
      <c r="O41">
        <f>$D$33/$L41</f>
        <v>21784.056098356508</v>
      </c>
      <c r="Q41" t="s">
        <v>44</v>
      </c>
      <c r="R41">
        <f>($O41*$F41*9.81/3.6)/746</f>
        <v>38377.053438916511</v>
      </c>
    </row>
    <row r="42" spans="1:19">
      <c r="C42" t="s">
        <v>19</v>
      </c>
      <c r="D42">
        <f>$D$41/SQRT(3)</f>
        <v>0.34348330058065096</v>
      </c>
      <c r="E42" t="s">
        <v>25</v>
      </c>
      <c r="F42">
        <f>3.6*SQRT((2/$H$37)*($E$35)*(1/$D42))</f>
        <v>634.72486908077985</v>
      </c>
      <c r="H42" t="s">
        <v>38</v>
      </c>
      <c r="I42">
        <f>$J$33+$J$35*$D42^2</f>
        <v>2.4E-2</v>
      </c>
      <c r="K42" t="s">
        <v>29</v>
      </c>
      <c r="L42">
        <f>$D42/$I42</f>
        <v>14.311804190860457</v>
      </c>
      <c r="M42" t="s">
        <v>43</v>
      </c>
      <c r="O42">
        <f>$D$33/$L42</f>
        <v>25154.061304856074</v>
      </c>
      <c r="Q42" t="s">
        <v>45</v>
      </c>
      <c r="R42">
        <f>($O42*$F42*9.81/3.6)/746</f>
        <v>58320.509426093842</v>
      </c>
    </row>
    <row r="44" spans="1:19">
      <c r="A44" t="s">
        <v>54</v>
      </c>
      <c r="B44" t="s">
        <v>49</v>
      </c>
      <c r="C44" t="s">
        <v>50</v>
      </c>
      <c r="E44" t="s">
        <v>50</v>
      </c>
    </row>
    <row r="45" spans="1:19">
      <c r="A45">
        <v>0.1</v>
      </c>
      <c r="B45">
        <v>0</v>
      </c>
      <c r="C45">
        <f>$J$33+$J$35*$B45^2</f>
        <v>1.7999999999999999E-2</v>
      </c>
      <c r="E45">
        <f>$J$33+$J$35*$B45^2</f>
        <v>1.7999999999999999E-2</v>
      </c>
    </row>
    <row r="46" spans="1:19">
      <c r="B46">
        <f>B45+$A$45</f>
        <v>0.1</v>
      </c>
      <c r="C46">
        <f t="shared" ref="C46:E63" si="28">$J$33+$J$35*$B46^2</f>
        <v>1.8508557420370737E-2</v>
      </c>
      <c r="E46">
        <f t="shared" si="28"/>
        <v>1.8508557420370737E-2</v>
      </c>
      <c r="H46" s="9"/>
    </row>
    <row r="47" spans="1:19">
      <c r="B47">
        <f t="shared" ref="B47:B63" si="29">B46+$A$45</f>
        <v>0.2</v>
      </c>
      <c r="C47">
        <f t="shared" si="28"/>
        <v>2.0034229681482951E-2</v>
      </c>
      <c r="E47">
        <f t="shared" si="28"/>
        <v>2.0034229681482951E-2</v>
      </c>
      <c r="H47" s="9"/>
      <c r="J47" t="s">
        <v>74</v>
      </c>
      <c r="K47">
        <f>$R$35/$D$33</f>
        <v>0.2311111111111111</v>
      </c>
    </row>
    <row r="48" spans="1:19">
      <c r="B48">
        <f t="shared" si="29"/>
        <v>0.30000000000000004</v>
      </c>
      <c r="C48">
        <f t="shared" si="28"/>
        <v>2.2577016783336644E-2</v>
      </c>
      <c r="E48">
        <f t="shared" si="28"/>
        <v>2.2577016783336644E-2</v>
      </c>
      <c r="H48" s="9"/>
      <c r="J48" t="s">
        <v>75</v>
      </c>
      <c r="K48">
        <f>(1+SQRT(1-1/(($K$47^2)*($B$39^2))))</f>
        <v>1.9651146612052111</v>
      </c>
    </row>
    <row r="49" spans="2:17">
      <c r="B49">
        <f t="shared" si="29"/>
        <v>0.4</v>
      </c>
      <c r="C49">
        <f t="shared" si="28"/>
        <v>2.613691872593181E-2</v>
      </c>
      <c r="E49">
        <f t="shared" si="28"/>
        <v>2.613691872593181E-2</v>
      </c>
      <c r="H49" s="9"/>
      <c r="J49" t="s">
        <v>76</v>
      </c>
      <c r="K49">
        <f>SQRT(($K$47*$E$35)*$K$48/($H$37*$J$33))</f>
        <v>367.01932988259148</v>
      </c>
      <c r="L49" t="s">
        <v>77</v>
      </c>
      <c r="O49" t="s">
        <v>78</v>
      </c>
      <c r="P49">
        <f>$K$49*3.6</f>
        <v>1321.2695875773293</v>
      </c>
    </row>
    <row r="50" spans="2:17">
      <c r="B50">
        <f t="shared" si="29"/>
        <v>0.5</v>
      </c>
      <c r="C50">
        <f t="shared" si="28"/>
        <v>3.0713935509268455E-2</v>
      </c>
      <c r="E50">
        <f t="shared" si="28"/>
        <v>3.0713935509268455E-2</v>
      </c>
      <c r="H50" s="9"/>
    </row>
    <row r="51" spans="2:17">
      <c r="B51">
        <f t="shared" si="29"/>
        <v>0.6</v>
      </c>
      <c r="C51">
        <f t="shared" si="28"/>
        <v>3.6308067133346576E-2</v>
      </c>
      <c r="E51">
        <f t="shared" si="28"/>
        <v>3.6308067133346576E-2</v>
      </c>
      <c r="O51" t="s">
        <v>79</v>
      </c>
      <c r="P51">
        <f>$K$49/$J$37</f>
        <v>1.0785169846682088</v>
      </c>
    </row>
    <row r="52" spans="2:17">
      <c r="B52">
        <f t="shared" si="29"/>
        <v>0.7</v>
      </c>
      <c r="C52">
        <f t="shared" si="28"/>
        <v>4.291931359816617E-2</v>
      </c>
      <c r="E52">
        <f t="shared" si="28"/>
        <v>4.291931359816617E-2</v>
      </c>
    </row>
    <row r="53" spans="2:17">
      <c r="B53">
        <f t="shared" si="29"/>
        <v>0.79999999999999993</v>
      </c>
      <c r="C53">
        <f t="shared" si="28"/>
        <v>5.0547674903727247E-2</v>
      </c>
      <c r="E53">
        <f t="shared" si="28"/>
        <v>5.0547674903727247E-2</v>
      </c>
      <c r="J53" t="s">
        <v>80</v>
      </c>
      <c r="K53">
        <f>$M$33*$J$37</f>
        <v>282.44900000000001</v>
      </c>
      <c r="L53" t="s">
        <v>77</v>
      </c>
      <c r="O53" t="s">
        <v>80</v>
      </c>
      <c r="P53">
        <f>$K$53*3.6</f>
        <v>1016.8164</v>
      </c>
      <c r="Q53" t="s">
        <v>81</v>
      </c>
    </row>
    <row r="54" spans="2:17">
      <c r="B54">
        <f t="shared" si="29"/>
        <v>0.89999999999999991</v>
      </c>
      <c r="C54">
        <f t="shared" si="28"/>
        <v>5.9193151050029785E-2</v>
      </c>
      <c r="E54">
        <f t="shared" si="28"/>
        <v>5.9193151050029785E-2</v>
      </c>
      <c r="J54" t="s">
        <v>82</v>
      </c>
      <c r="K54">
        <f>0.5*$H$37*($K$53)^2</f>
        <v>48863.68053061251</v>
      </c>
      <c r="L54" t="s">
        <v>83</v>
      </c>
    </row>
    <row r="55" spans="2:17">
      <c r="B55">
        <f t="shared" si="29"/>
        <v>0.99999999999999989</v>
      </c>
      <c r="C55">
        <f t="shared" si="28"/>
        <v>6.8855742037073814E-2</v>
      </c>
      <c r="E55">
        <f t="shared" si="28"/>
        <v>6.8855742037073814E-2</v>
      </c>
      <c r="J55" t="s">
        <v>84</v>
      </c>
      <c r="K55">
        <f>(D33*9.81)/(K54*A33)</f>
        <v>0.13384173948793662</v>
      </c>
    </row>
    <row r="56" spans="2:17">
      <c r="B56">
        <f t="shared" si="29"/>
        <v>1.0999999999999999</v>
      </c>
      <c r="C56">
        <f t="shared" si="28"/>
        <v>7.9535447864859318E-2</v>
      </c>
      <c r="E56">
        <f t="shared" si="28"/>
        <v>7.9535447864859318E-2</v>
      </c>
      <c r="J56" t="s">
        <v>85</v>
      </c>
      <c r="K56">
        <f>J33+J35*(K55)^2</f>
        <v>1.8911009991622419E-2</v>
      </c>
    </row>
    <row r="57" spans="2:17">
      <c r="B57">
        <f t="shared" si="29"/>
        <v>1.2</v>
      </c>
      <c r="C57">
        <f t="shared" si="28"/>
        <v>9.1232268533386313E-2</v>
      </c>
      <c r="E57">
        <f t="shared" si="28"/>
        <v>9.1232268533386313E-2</v>
      </c>
      <c r="J57" t="s">
        <v>86</v>
      </c>
      <c r="K57">
        <f>K54*A33*K56</f>
        <v>498993.23740060389</v>
      </c>
      <c r="L57" t="s">
        <v>87</v>
      </c>
      <c r="O57" t="s">
        <v>86</v>
      </c>
      <c r="P57">
        <f>K57/9.81</f>
        <v>50865.773435331692</v>
      </c>
      <c r="Q57" t="s">
        <v>88</v>
      </c>
    </row>
    <row r="58" spans="2:17">
      <c r="B58">
        <f t="shared" si="29"/>
        <v>1.3</v>
      </c>
      <c r="C58">
        <f t="shared" si="28"/>
        <v>0.10394620404265477</v>
      </c>
      <c r="E58">
        <f t="shared" si="28"/>
        <v>0.10394620404265477</v>
      </c>
    </row>
    <row r="59" spans="2:17">
      <c r="B59">
        <f>B58+$A$45</f>
        <v>1.4000000000000001</v>
      </c>
      <c r="C59">
        <f t="shared" si="28"/>
        <v>0.11767725439266472</v>
      </c>
      <c r="E59">
        <f t="shared" si="28"/>
        <v>0.11767725439266472</v>
      </c>
      <c r="J59" t="s">
        <v>89</v>
      </c>
      <c r="K59">
        <f>($R$35-$P$57)/(14*$P$57)</f>
        <v>4.5405534129906062E-2</v>
      </c>
    </row>
    <row r="60" spans="2:17">
      <c r="B60">
        <f t="shared" si="29"/>
        <v>1.5000000000000002</v>
      </c>
      <c r="C60">
        <f t="shared" si="28"/>
        <v>0.13242541958341614</v>
      </c>
      <c r="E60">
        <f t="shared" si="28"/>
        <v>0.13242541958341614</v>
      </c>
      <c r="J60" t="s">
        <v>90</v>
      </c>
      <c r="K60">
        <f>M33+K59</f>
        <v>0.87540553412990607</v>
      </c>
    </row>
    <row r="61" spans="2:17">
      <c r="B61">
        <f t="shared" si="29"/>
        <v>1.6000000000000003</v>
      </c>
      <c r="C61">
        <f t="shared" si="28"/>
        <v>0.14819069961490902</v>
      </c>
      <c r="E61">
        <f t="shared" si="28"/>
        <v>0.14819069961490902</v>
      </c>
    </row>
    <row r="62" spans="2:17">
      <c r="B62">
        <f t="shared" si="29"/>
        <v>1.7000000000000004</v>
      </c>
      <c r="C62">
        <f t="shared" si="28"/>
        <v>0.16497309448714342</v>
      </c>
      <c r="E62">
        <f t="shared" si="28"/>
        <v>0.16497309448714342</v>
      </c>
    </row>
    <row r="63" spans="2:17">
      <c r="B63">
        <f t="shared" si="29"/>
        <v>1.8000000000000005</v>
      </c>
      <c r="C63">
        <f t="shared" si="28"/>
        <v>0.18277260420011926</v>
      </c>
      <c r="E63">
        <f t="shared" si="28"/>
        <v>0.18277260420011926</v>
      </c>
    </row>
  </sheetData>
  <phoneticPr fontId="0" type="noConversion"/>
  <pageMargins left="0.75" right="0.75" top="1" bottom="1" header="0.5" footer="0.5"/>
  <pageSetup paperSize="9" orientation="portrait" horizontalDpi="4294967293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63"/>
  <sheetViews>
    <sheetView topLeftCell="A7" zoomScale="75" workbookViewId="0">
      <selection activeCell="T35" sqref="T35"/>
    </sheetView>
  </sheetViews>
  <sheetFormatPr defaultRowHeight="12.75"/>
  <cols>
    <col min="1" max="1" width="6.7109375" customWidth="1"/>
    <col min="2" max="2" width="7.5703125" customWidth="1"/>
    <col min="3" max="3" width="8.7109375" customWidth="1"/>
    <col min="4" max="4" width="9.85546875" customWidth="1"/>
    <col min="6" max="6" width="7.5703125" customWidth="1"/>
    <col min="7" max="7" width="7.85546875" customWidth="1"/>
    <col min="8" max="8" width="6.28515625" customWidth="1"/>
    <col min="9" max="9" width="8.85546875" customWidth="1"/>
    <col min="10" max="10" width="7.42578125" customWidth="1"/>
    <col min="11" max="11" width="7.5703125" customWidth="1"/>
    <col min="12" max="12" width="6.28515625" customWidth="1"/>
    <col min="13" max="14" width="6.85546875" customWidth="1"/>
    <col min="15" max="15" width="7.5703125" customWidth="1"/>
    <col min="16" max="16" width="9.42578125" customWidth="1"/>
    <col min="17" max="17" width="7" customWidth="1"/>
    <col min="18" max="18" width="7.5703125" customWidth="1"/>
  </cols>
  <sheetData>
    <row r="1" spans="1:30" s="2" customFormat="1" ht="25.5" customHeight="1">
      <c r="A1" s="2" t="s">
        <v>2</v>
      </c>
      <c r="B1" s="2" t="s">
        <v>0</v>
      </c>
      <c r="C1" s="2" t="s">
        <v>1</v>
      </c>
      <c r="D1" s="2" t="s">
        <v>48</v>
      </c>
      <c r="E1" s="2" t="s">
        <v>49</v>
      </c>
      <c r="F1" s="2" t="s">
        <v>50</v>
      </c>
      <c r="G1" s="2" t="s">
        <v>51</v>
      </c>
      <c r="H1" s="2" t="s">
        <v>52</v>
      </c>
      <c r="I1" s="2" t="s">
        <v>53</v>
      </c>
      <c r="J1" s="2" t="s">
        <v>55</v>
      </c>
      <c r="K1" s="2" t="s">
        <v>56</v>
      </c>
      <c r="L1" s="2" t="s">
        <v>64</v>
      </c>
      <c r="M1" s="2" t="s">
        <v>65</v>
      </c>
      <c r="N1" s="2" t="s">
        <v>98</v>
      </c>
      <c r="O1" s="2" t="s">
        <v>66</v>
      </c>
      <c r="P1" s="2" t="s">
        <v>67</v>
      </c>
      <c r="Q1" s="2" t="s">
        <v>68</v>
      </c>
      <c r="R1" s="2" t="s">
        <v>69</v>
      </c>
      <c r="S1" s="2" t="s">
        <v>57</v>
      </c>
      <c r="T1" s="12" t="s">
        <v>85</v>
      </c>
      <c r="U1" s="12" t="s">
        <v>91</v>
      </c>
      <c r="V1" s="12" t="s">
        <v>93</v>
      </c>
      <c r="W1" s="12" t="s">
        <v>56</v>
      </c>
      <c r="X1" s="12" t="s">
        <v>67</v>
      </c>
      <c r="Y1" s="12" t="s">
        <v>68</v>
      </c>
      <c r="Z1" s="12" t="s">
        <v>69</v>
      </c>
      <c r="AA1" s="12" t="s">
        <v>57</v>
      </c>
      <c r="AC1" s="2" t="s">
        <v>95</v>
      </c>
      <c r="AD1" s="2" t="s">
        <v>97</v>
      </c>
    </row>
    <row r="2" spans="1:30" ht="12" customHeight="1">
      <c r="A2">
        <f>SL!A2</f>
        <v>6</v>
      </c>
      <c r="B2" s="8">
        <f>$F$39/3.6</f>
        <v>98.188017926783971</v>
      </c>
      <c r="C2">
        <f>$B2*3.6</f>
        <v>353.47686453642228</v>
      </c>
      <c r="D2">
        <f>0.5*$H$37*($B2)^2</f>
        <v>4359.9999999999991</v>
      </c>
      <c r="E2">
        <f>(2/$H$37)*($E$35)*(1/$B2)^2</f>
        <v>1.5000000000000002</v>
      </c>
      <c r="F2">
        <f>$J$33+$J$35*($E2)^2</f>
        <v>0.13242541958341614</v>
      </c>
      <c r="G2" s="7">
        <f>($F2*$D2*$A$33)/9.81</f>
        <v>31782.100700019862</v>
      </c>
      <c r="H2" s="8">
        <f>$E2/$F2</f>
        <v>11.327130430990515</v>
      </c>
      <c r="I2" s="7">
        <f>$D$33/$H2</f>
        <v>31782.10070001987</v>
      </c>
      <c r="J2" s="7">
        <f>$G2*9.81*$B2/1000</f>
        <v>30613.296652919998</v>
      </c>
      <c r="K2" s="7">
        <f>$J2/0.746</f>
        <v>41036.590687560318</v>
      </c>
      <c r="L2" s="10">
        <f>$B2/$J$37</f>
        <v>0.2989918135011978</v>
      </c>
      <c r="M2">
        <f>$R$35*(0.81-0.768*$L2+0.474*$L2*$L2)</f>
        <v>51812.636993177934</v>
      </c>
      <c r="N2">
        <f>M2/$O$35</f>
        <v>0.49819843262671087</v>
      </c>
      <c r="O2">
        <f>$M2*9.81*$B2/746</f>
        <v>66899.730662890404</v>
      </c>
      <c r="P2" s="7">
        <f>$M2-$G2</f>
        <v>20030.536293158071</v>
      </c>
      <c r="Q2" s="8">
        <f>57.3*ASIN($P2/$D$33)</f>
        <v>3.1898410184647097</v>
      </c>
      <c r="R2" s="7">
        <f>$O2-$K2</f>
        <v>25863.139975330087</v>
      </c>
      <c r="S2">
        <f>$R2*746/($D$33*9.81)</f>
        <v>5.4632184906547296</v>
      </c>
      <c r="T2" s="13">
        <f>U2*9.81/(D2*$A$33)</f>
        <v>0.13242541958341614</v>
      </c>
      <c r="U2" s="13">
        <f>IF(L2&lt;$M$33,I2,$M$37+$M$37*14*(L2-$M$33))</f>
        <v>31782.10070001987</v>
      </c>
      <c r="V2" s="14">
        <f>$U2*9.81*$B2/1000</f>
        <v>30613.296652920006</v>
      </c>
      <c r="W2" s="14">
        <f>$V2/0.746</f>
        <v>41036.590687560332</v>
      </c>
      <c r="X2" s="14">
        <f>$M2-$U2</f>
        <v>20030.536293158064</v>
      </c>
      <c r="Y2" s="15">
        <f>57.3*ASIN($X2/$D$33)</f>
        <v>3.1898410184647092</v>
      </c>
      <c r="Z2" s="14">
        <f>$O2-$W2</f>
        <v>25863.139975330072</v>
      </c>
      <c r="AA2" s="13">
        <f>$Z2*746/($D$33*9.81)</f>
        <v>5.463218490654727</v>
      </c>
      <c r="AC2">
        <f>11.27*(2/$S$33)*SQRT(2/($H$37*$A$33))*(SQRT(E2))*(1/T2)*(SQRT($D$33)-SQRT($D$33-$E$33))</f>
        <v>1787.1829356637686</v>
      </c>
      <c r="AD2">
        <f>(1/$S$33)*(E2/T2)*LN($D$33/($D$33-$E$33))</f>
        <v>5.431020595531642</v>
      </c>
    </row>
    <row r="3" spans="1:30" ht="12" customHeight="1">
      <c r="B3" s="8">
        <f>B2+$A$2</f>
        <v>104.18801792678397</v>
      </c>
      <c r="C3">
        <f t="shared" ref="C3:C30" si="0">$B3*3.6</f>
        <v>375.07686453642231</v>
      </c>
      <c r="D3">
        <f t="shared" ref="D3:D30" si="1">0.5*$H$37*($B3)^2</f>
        <v>4909.1359013332903</v>
      </c>
      <c r="E3">
        <f t="shared" ref="E3:E30" si="2">(2/$H$37)*($E$35)*(1/$B3)^2</f>
        <v>1.3322100124023408</v>
      </c>
      <c r="F3">
        <f t="shared" ref="F3:F30" si="3">$J$33+$J$35*($E3)^2</f>
        <v>0.10825793271957901</v>
      </c>
      <c r="G3" s="7">
        <f t="shared" ref="G3:G30" si="4">($F3*$D3*$A$33)/9.81</f>
        <v>29254.28830006289</v>
      </c>
      <c r="H3" s="8">
        <f t="shared" ref="H3:H30" si="5">$E3/$F3</f>
        <v>12.305888159283164</v>
      </c>
      <c r="I3" s="7">
        <f t="shared" ref="I3:I30" si="6">$D$33/$H3</f>
        <v>29254.288300062897</v>
      </c>
      <c r="J3" s="7">
        <f t="shared" ref="J3:J30" si="7">$G3*9.81*$B3/1000</f>
        <v>29900.353338792564</v>
      </c>
      <c r="K3" s="7">
        <f t="shared" ref="K3:K30" si="8">$J3/0.746</f>
        <v>40080.902598917644</v>
      </c>
      <c r="L3" s="10">
        <f t="shared" ref="L3:L30" si="9">$B3/$J$37</f>
        <v>0.31726238173229182</v>
      </c>
      <c r="M3">
        <f t="shared" ref="M3:M30" si="10">$R$35*(0.81-0.768*$L3+0.474*$L3*$L3)</f>
        <v>51089.22285961725</v>
      </c>
      <c r="N3">
        <f t="shared" ref="N3:N30" si="11">M3/$O$35</f>
        <v>0.49124252749631969</v>
      </c>
      <c r="O3">
        <f t="shared" ref="O3:O30" si="12">$M3*9.81*$B3/746</f>
        <v>69996.649526637557</v>
      </c>
      <c r="P3" s="7">
        <f t="shared" ref="P3:P30" si="13">$M3-$G3</f>
        <v>21834.93455955436</v>
      </c>
      <c r="Q3" s="8">
        <f t="shared" ref="Q3:Q30" si="14">57.3*ASIN($P3/$D$33)</f>
        <v>3.477528129434682</v>
      </c>
      <c r="R3" s="7">
        <f t="shared" ref="R3:R29" si="15">$O3-$K3</f>
        <v>29915.746927719912</v>
      </c>
      <c r="S3">
        <f t="shared" ref="S3:S30" si="16">$R3*746/($D$33*9.81)</f>
        <v>6.3192737592250126</v>
      </c>
      <c r="T3" s="13">
        <f t="shared" ref="T3:T30" si="17">U3*9.81/(D3*$A$33)</f>
        <v>0.10825793271957902</v>
      </c>
      <c r="U3" s="13">
        <f t="shared" ref="U3:U30" si="18">IF(L3&lt;$M$33,I3,$M$37+$M$37*14*(L3-$M$33))</f>
        <v>29254.288300062897</v>
      </c>
      <c r="V3" s="14">
        <f t="shared" ref="V3:V30" si="19">$U3*9.81*$B3/1000</f>
        <v>29900.353338792571</v>
      </c>
      <c r="W3" s="14">
        <f t="shared" ref="W3:W30" si="20">$V3/0.746</f>
        <v>40080.902598917659</v>
      </c>
      <c r="X3" s="14">
        <f t="shared" ref="X3:X30" si="21">$M3-$U3</f>
        <v>21834.934559554353</v>
      </c>
      <c r="Y3" s="15">
        <f t="shared" ref="Y3:Y30" si="22">57.3*ASIN($X3/$D$33)</f>
        <v>3.4775281294346803</v>
      </c>
      <c r="Z3" s="14">
        <f t="shared" ref="Z3:Z30" si="23">$O3-$W3</f>
        <v>29915.746927719898</v>
      </c>
      <c r="AA3" s="13">
        <f t="shared" ref="AA3:AA30" si="24">$Z3*746/($D$33*9.81)</f>
        <v>6.3192737592250099</v>
      </c>
      <c r="AC3">
        <f t="shared" ref="AC3:AC30" si="25">11.27*(2/$S$33)*SQRT(2/($H$37*$A$33))*(SQRT(E3))*(1/T3)*(SQRT($D$33)-SQRT($D$33-$E$33))</f>
        <v>2060.2567906598965</v>
      </c>
      <c r="AD3">
        <f t="shared" ref="AD3:AD30" si="26">(1/$S$33)*(E3/T3)*LN($D$33/($D$33-$E$33))</f>
        <v>5.9003056817040189</v>
      </c>
    </row>
    <row r="4" spans="1:30" ht="12" customHeight="1">
      <c r="B4" s="8">
        <f t="shared" ref="B4:B30" si="27">B3+$A$2</f>
        <v>110.18801792678397</v>
      </c>
      <c r="C4">
        <f t="shared" si="0"/>
        <v>396.67686453642233</v>
      </c>
      <c r="D4">
        <f t="shared" si="1"/>
        <v>5490.8331224305848</v>
      </c>
      <c r="E4">
        <f t="shared" si="2"/>
        <v>1.1910760815664687</v>
      </c>
      <c r="F4">
        <f t="shared" si="3"/>
        <v>9.0147120512386283E-2</v>
      </c>
      <c r="G4" s="7">
        <f t="shared" si="4"/>
        <v>27246.75936887076</v>
      </c>
      <c r="H4" s="8">
        <f t="shared" si="5"/>
        <v>13.212580444017776</v>
      </c>
      <c r="I4" s="7">
        <f t="shared" si="6"/>
        <v>27246.759368870764</v>
      </c>
      <c r="J4" s="7">
        <f t="shared" si="7"/>
        <v>29452.233479980066</v>
      </c>
      <c r="K4" s="7">
        <f t="shared" si="8"/>
        <v>39480.205737238692</v>
      </c>
      <c r="L4" s="10">
        <f t="shared" si="9"/>
        <v>0.33553294996338578</v>
      </c>
      <c r="M4">
        <f t="shared" si="10"/>
        <v>50392.137811424975</v>
      </c>
      <c r="N4">
        <f t="shared" si="11"/>
        <v>0.48453978664831704</v>
      </c>
      <c r="O4">
        <f t="shared" si="12"/>
        <v>73017.562984291057</v>
      </c>
      <c r="P4" s="7">
        <f t="shared" si="13"/>
        <v>23145.378442554214</v>
      </c>
      <c r="Q4" s="8">
        <f t="shared" si="14"/>
        <v>3.6865154510997691</v>
      </c>
      <c r="R4" s="7">
        <f t="shared" si="15"/>
        <v>33537.357247052365</v>
      </c>
      <c r="S4">
        <f t="shared" si="16"/>
        <v>7.0842871520843422</v>
      </c>
      <c r="T4" s="13">
        <f t="shared" si="17"/>
        <v>9.0147120512386297E-2</v>
      </c>
      <c r="U4" s="13">
        <f t="shared" si="18"/>
        <v>27246.759368870764</v>
      </c>
      <c r="V4" s="14">
        <f t="shared" si="19"/>
        <v>29452.23347998007</v>
      </c>
      <c r="W4" s="14">
        <f t="shared" si="20"/>
        <v>39480.205737238699</v>
      </c>
      <c r="X4" s="14">
        <f t="shared" si="21"/>
        <v>23145.378442554211</v>
      </c>
      <c r="Y4" s="15">
        <f t="shared" si="22"/>
        <v>3.6865154510997691</v>
      </c>
      <c r="Z4" s="14">
        <f t="shared" si="23"/>
        <v>33537.357247052358</v>
      </c>
      <c r="AA4" s="13">
        <f t="shared" si="24"/>
        <v>7.0842871520843413</v>
      </c>
      <c r="AC4">
        <f t="shared" si="25"/>
        <v>2339.4438714225948</v>
      </c>
      <c r="AD4">
        <f t="shared" si="26"/>
        <v>6.3350375409515074</v>
      </c>
    </row>
    <row r="5" spans="1:30" ht="12" customHeight="1">
      <c r="B5" s="8">
        <f t="shared" si="27"/>
        <v>116.18801792678397</v>
      </c>
      <c r="C5">
        <f t="shared" si="0"/>
        <v>418.27686453642229</v>
      </c>
      <c r="D5">
        <f t="shared" si="1"/>
        <v>6105.0916632918834</v>
      </c>
      <c r="E5">
        <f t="shared" si="2"/>
        <v>1.0712369872057927</v>
      </c>
      <c r="F5">
        <f t="shared" si="3"/>
        <v>7.6359439785311678E-2</v>
      </c>
      <c r="G5" s="7">
        <f t="shared" si="4"/>
        <v>25661.360325519905</v>
      </c>
      <c r="H5" s="8">
        <f t="shared" si="5"/>
        <v>14.028874363374433</v>
      </c>
      <c r="I5" s="7">
        <f t="shared" si="6"/>
        <v>25661.360325519905</v>
      </c>
      <c r="J5" s="7">
        <f t="shared" si="7"/>
        <v>29248.932842501537</v>
      </c>
      <c r="K5" s="7">
        <f t="shared" si="8"/>
        <v>39207.684775471229</v>
      </c>
      <c r="L5" s="10">
        <f t="shared" si="9"/>
        <v>0.3538035181944798</v>
      </c>
      <c r="M5">
        <f t="shared" si="10"/>
        <v>49721.381848601108</v>
      </c>
      <c r="N5">
        <f t="shared" si="11"/>
        <v>0.47809021008270297</v>
      </c>
      <c r="O5">
        <f t="shared" si="12"/>
        <v>75968.70319388622</v>
      </c>
      <c r="P5" s="7">
        <f t="shared" si="13"/>
        <v>24060.021523081203</v>
      </c>
      <c r="Q5" s="8">
        <f t="shared" si="14"/>
        <v>3.8324100840219661</v>
      </c>
      <c r="R5" s="7">
        <f t="shared" si="15"/>
        <v>36761.018418414991</v>
      </c>
      <c r="S5">
        <f t="shared" si="16"/>
        <v>7.7652394778960199</v>
      </c>
      <c r="T5" s="13">
        <f t="shared" si="17"/>
        <v>7.6359439785311692E-2</v>
      </c>
      <c r="U5" s="13">
        <f t="shared" si="18"/>
        <v>25661.360325519905</v>
      </c>
      <c r="V5" s="14">
        <f t="shared" si="19"/>
        <v>29248.932842501537</v>
      </c>
      <c r="W5" s="14">
        <f t="shared" si="20"/>
        <v>39207.684775471229</v>
      </c>
      <c r="X5" s="14">
        <f t="shared" si="21"/>
        <v>24060.021523081203</v>
      </c>
      <c r="Y5" s="15">
        <f t="shared" si="22"/>
        <v>3.8324100840219661</v>
      </c>
      <c r="Z5" s="14">
        <f t="shared" si="23"/>
        <v>36761.018418414991</v>
      </c>
      <c r="AA5" s="13">
        <f t="shared" si="24"/>
        <v>7.7652394778960199</v>
      </c>
      <c r="AC5">
        <f t="shared" si="25"/>
        <v>2619.236917471289</v>
      </c>
      <c r="AD5">
        <f t="shared" si="26"/>
        <v>6.7264260850353574</v>
      </c>
    </row>
    <row r="6" spans="1:30" ht="12" customHeight="1">
      <c r="B6" s="8">
        <f t="shared" si="27"/>
        <v>122.18801792678397</v>
      </c>
      <c r="C6">
        <f t="shared" si="0"/>
        <v>439.87686453642232</v>
      </c>
      <c r="D6">
        <f t="shared" si="1"/>
        <v>6751.9115239171851</v>
      </c>
      <c r="E6">
        <f t="shared" si="2"/>
        <v>0.96861458815529</v>
      </c>
      <c r="F6">
        <f t="shared" si="3"/>
        <v>6.5713580367527918E-2</v>
      </c>
      <c r="G6" s="7">
        <f t="shared" si="4"/>
        <v>24423.428287781826</v>
      </c>
      <c r="H6" s="8">
        <f t="shared" si="5"/>
        <v>14.739945422817453</v>
      </c>
      <c r="I6" s="7">
        <f t="shared" si="6"/>
        <v>24423.428287781826</v>
      </c>
      <c r="J6" s="7">
        <f t="shared" si="7"/>
        <v>29275.495378852494</v>
      </c>
      <c r="K6" s="7">
        <f t="shared" si="8"/>
        <v>39243.291392563668</v>
      </c>
      <c r="L6" s="10">
        <f t="shared" si="9"/>
        <v>0.37207408642557377</v>
      </c>
      <c r="M6">
        <f t="shared" si="10"/>
        <v>49076.954971145671</v>
      </c>
      <c r="N6">
        <f t="shared" si="11"/>
        <v>0.4718937977994776</v>
      </c>
      <c r="O6">
        <f t="shared" si="12"/>
        <v>78856.302313458407</v>
      </c>
      <c r="P6" s="7">
        <f t="shared" si="13"/>
        <v>24653.526683363845</v>
      </c>
      <c r="Q6" s="8">
        <f t="shared" si="14"/>
        <v>3.927093290772933</v>
      </c>
      <c r="R6" s="7">
        <f t="shared" si="15"/>
        <v>39613.01092089474</v>
      </c>
      <c r="S6">
        <f t="shared" si="16"/>
        <v>8.3676821120703018</v>
      </c>
      <c r="T6" s="13">
        <f t="shared" si="17"/>
        <v>6.5713580367527918E-2</v>
      </c>
      <c r="U6" s="13">
        <f t="shared" si="18"/>
        <v>24423.428287781826</v>
      </c>
      <c r="V6" s="14">
        <f t="shared" si="19"/>
        <v>29275.495378852494</v>
      </c>
      <c r="W6" s="14">
        <f t="shared" si="20"/>
        <v>39243.291392563668</v>
      </c>
      <c r="X6" s="14">
        <f t="shared" si="21"/>
        <v>24653.526683363845</v>
      </c>
      <c r="Y6" s="15">
        <f t="shared" si="22"/>
        <v>3.927093290772933</v>
      </c>
      <c r="Z6" s="14">
        <f t="shared" si="23"/>
        <v>39613.01092089474</v>
      </c>
      <c r="AA6" s="13">
        <f t="shared" si="24"/>
        <v>8.3676821120703018</v>
      </c>
      <c r="AC6">
        <f t="shared" si="25"/>
        <v>2894.1105065090092</v>
      </c>
      <c r="AD6">
        <f t="shared" si="26"/>
        <v>7.0673634117704429</v>
      </c>
    </row>
    <row r="7" spans="1:30" ht="12" customHeight="1">
      <c r="B7" s="8">
        <f t="shared" si="27"/>
        <v>128.18801792678397</v>
      </c>
      <c r="C7">
        <f t="shared" si="0"/>
        <v>461.47686453642228</v>
      </c>
      <c r="D7">
        <f t="shared" si="1"/>
        <v>7431.292704306491</v>
      </c>
      <c r="E7">
        <f t="shared" si="2"/>
        <v>0.88006222607945728</v>
      </c>
      <c r="F7">
        <f t="shared" si="3"/>
        <v>5.7388256444490679E-2</v>
      </c>
      <c r="G7" s="7">
        <f t="shared" si="4"/>
        <v>23475.354023604414</v>
      </c>
      <c r="H7" s="8">
        <f t="shared" si="5"/>
        <v>15.335231990027534</v>
      </c>
      <c r="I7" s="7">
        <f t="shared" si="6"/>
        <v>23475.354023604414</v>
      </c>
      <c r="J7" s="7">
        <f t="shared" si="7"/>
        <v>29520.831794695103</v>
      </c>
      <c r="K7" s="7">
        <f t="shared" si="8"/>
        <v>39572.16058270121</v>
      </c>
      <c r="L7" s="10">
        <f t="shared" si="9"/>
        <v>0.39034465465666779</v>
      </c>
      <c r="M7">
        <f t="shared" si="10"/>
        <v>48458.857179058643</v>
      </c>
      <c r="N7">
        <f t="shared" si="11"/>
        <v>0.46595054979864081</v>
      </c>
      <c r="O7">
        <f t="shared" si="12"/>
        <v>81686.59250104292</v>
      </c>
      <c r="P7" s="7">
        <f t="shared" si="13"/>
        <v>24983.503155454229</v>
      </c>
      <c r="Q7" s="8">
        <f t="shared" si="14"/>
        <v>3.979739805119022</v>
      </c>
      <c r="R7" s="7">
        <f t="shared" si="15"/>
        <v>42114.43191834171</v>
      </c>
      <c r="S7">
        <f t="shared" si="16"/>
        <v>8.8960715287923087</v>
      </c>
      <c r="T7" s="13">
        <f t="shared" si="17"/>
        <v>5.7388256444490672E-2</v>
      </c>
      <c r="U7" s="13">
        <f t="shared" si="18"/>
        <v>23475.354023604414</v>
      </c>
      <c r="V7" s="14">
        <f t="shared" si="19"/>
        <v>29520.831794695103</v>
      </c>
      <c r="W7" s="14">
        <f t="shared" si="20"/>
        <v>39572.16058270121</v>
      </c>
      <c r="X7" s="14">
        <f t="shared" si="21"/>
        <v>24983.503155454229</v>
      </c>
      <c r="Y7" s="15">
        <f t="shared" si="22"/>
        <v>3.979739805119022</v>
      </c>
      <c r="Z7" s="14">
        <f t="shared" si="23"/>
        <v>42114.43191834171</v>
      </c>
      <c r="AA7" s="13">
        <f t="shared" si="24"/>
        <v>8.8960715287923087</v>
      </c>
      <c r="AC7">
        <f t="shared" si="25"/>
        <v>3158.8455890198697</v>
      </c>
      <c r="AD7">
        <f t="shared" si="26"/>
        <v>7.3527855340332815</v>
      </c>
    </row>
    <row r="8" spans="1:30" ht="12" customHeight="1">
      <c r="B8" s="8">
        <f t="shared" si="27"/>
        <v>134.18801792678397</v>
      </c>
      <c r="C8">
        <f t="shared" si="0"/>
        <v>483.07686453642231</v>
      </c>
      <c r="D8">
        <f t="shared" si="1"/>
        <v>8143.2352044598001</v>
      </c>
      <c r="E8">
        <f t="shared" si="2"/>
        <v>0.80312060695707799</v>
      </c>
      <c r="F8">
        <f t="shared" si="3"/>
        <v>5.0802091398346128E-2</v>
      </c>
      <c r="G8" s="7">
        <f t="shared" si="4"/>
        <v>22772.112612946599</v>
      </c>
      <c r="H8" s="8">
        <f t="shared" si="5"/>
        <v>15.808809929884575</v>
      </c>
      <c r="I8" s="7">
        <f t="shared" si="6"/>
        <v>22772.112612946603</v>
      </c>
      <c r="J8" s="7">
        <f t="shared" si="7"/>
        <v>29976.855070816222</v>
      </c>
      <c r="K8" s="7">
        <f t="shared" si="8"/>
        <v>40183.451837555258</v>
      </c>
      <c r="L8" s="10">
        <f t="shared" si="9"/>
        <v>0.40861522288776175</v>
      </c>
      <c r="M8">
        <f t="shared" si="10"/>
        <v>47867.088472340016</v>
      </c>
      <c r="N8">
        <f t="shared" si="11"/>
        <v>0.46026046608019244</v>
      </c>
      <c r="O8">
        <f t="shared" si="12"/>
        <v>84465.805914675075</v>
      </c>
      <c r="P8" s="7">
        <f t="shared" si="13"/>
        <v>25094.975859393417</v>
      </c>
      <c r="Q8" s="8">
        <f t="shared" si="14"/>
        <v>3.9975256171046754</v>
      </c>
      <c r="R8" s="7">
        <f t="shared" si="15"/>
        <v>44282.354077119817</v>
      </c>
      <c r="S8">
        <f t="shared" si="16"/>
        <v>9.354014084701376</v>
      </c>
      <c r="T8" s="13">
        <f t="shared" si="17"/>
        <v>5.0802091398346128E-2</v>
      </c>
      <c r="U8" s="13">
        <f t="shared" si="18"/>
        <v>22772.112612946603</v>
      </c>
      <c r="V8" s="14">
        <f t="shared" si="19"/>
        <v>29976.855070816226</v>
      </c>
      <c r="W8" s="14">
        <f t="shared" si="20"/>
        <v>40183.451837555265</v>
      </c>
      <c r="X8" s="14">
        <f t="shared" si="21"/>
        <v>25094.975859393413</v>
      </c>
      <c r="Y8" s="15">
        <f t="shared" si="22"/>
        <v>3.9975256171046754</v>
      </c>
      <c r="Z8" s="14">
        <f t="shared" si="23"/>
        <v>44282.35407711981</v>
      </c>
      <c r="AA8" s="13">
        <f t="shared" si="24"/>
        <v>9.354014084701376</v>
      </c>
      <c r="AC8">
        <f t="shared" si="25"/>
        <v>3408.8157705453291</v>
      </c>
      <c r="AD8">
        <f t="shared" si="26"/>
        <v>7.5798520060424774</v>
      </c>
    </row>
    <row r="9" spans="1:30" ht="12" customHeight="1">
      <c r="B9" s="8">
        <f t="shared" si="27"/>
        <v>140.18801792678397</v>
      </c>
      <c r="C9">
        <f t="shared" si="0"/>
        <v>504.67686453642233</v>
      </c>
      <c r="D9">
        <f t="shared" si="1"/>
        <v>8887.7390243771133</v>
      </c>
      <c r="E9">
        <f t="shared" si="2"/>
        <v>0.73584518875522986</v>
      </c>
      <c r="F9">
        <f t="shared" si="3"/>
        <v>4.5536764141397672E-2</v>
      </c>
      <c r="G9" s="7">
        <f t="shared" si="4"/>
        <v>22278.103249726042</v>
      </c>
      <c r="H9" s="8">
        <f t="shared" si="5"/>
        <v>16.159364913816301</v>
      </c>
      <c r="I9" s="7">
        <f t="shared" si="6"/>
        <v>22278.103249726046</v>
      </c>
      <c r="J9" s="7">
        <f t="shared" si="7"/>
        <v>30637.837981301393</v>
      </c>
      <c r="K9" s="7">
        <f t="shared" si="8"/>
        <v>41069.487910591677</v>
      </c>
      <c r="L9" s="10">
        <f t="shared" si="9"/>
        <v>0.42688579111885577</v>
      </c>
      <c r="M9">
        <f t="shared" si="10"/>
        <v>47301.648850989812</v>
      </c>
      <c r="N9">
        <f t="shared" si="11"/>
        <v>0.45482354664413283</v>
      </c>
      <c r="O9">
        <f t="shared" si="12"/>
        <v>87200.174712390202</v>
      </c>
      <c r="P9" s="7">
        <f t="shared" si="13"/>
        <v>25023.54560126377</v>
      </c>
      <c r="Q9" s="8">
        <f t="shared" si="14"/>
        <v>3.9861286559344542</v>
      </c>
      <c r="R9" s="7">
        <f t="shared" si="15"/>
        <v>46130.686801798525</v>
      </c>
      <c r="S9">
        <f t="shared" si="16"/>
        <v>9.7444479426157251</v>
      </c>
      <c r="T9" s="13">
        <f t="shared" si="17"/>
        <v>4.5536764141397679E-2</v>
      </c>
      <c r="U9" s="13">
        <f t="shared" si="18"/>
        <v>22278.103249726046</v>
      </c>
      <c r="V9" s="14">
        <f t="shared" si="19"/>
        <v>30637.8379813014</v>
      </c>
      <c r="W9" s="14">
        <f t="shared" si="20"/>
        <v>41069.487910591692</v>
      </c>
      <c r="X9" s="14">
        <f t="shared" si="21"/>
        <v>25023.545601263766</v>
      </c>
      <c r="Y9" s="15">
        <f t="shared" si="22"/>
        <v>3.9861286559344533</v>
      </c>
      <c r="Z9" s="14">
        <f t="shared" si="23"/>
        <v>46130.686801798511</v>
      </c>
      <c r="AA9" s="13">
        <f t="shared" si="24"/>
        <v>9.7444479426157233</v>
      </c>
      <c r="AC9">
        <f t="shared" si="25"/>
        <v>3640.204634573086</v>
      </c>
      <c r="AD9">
        <f t="shared" si="26"/>
        <v>7.7479326465187777</v>
      </c>
    </row>
    <row r="10" spans="1:30" ht="12" customHeight="1">
      <c r="B10" s="8">
        <f t="shared" si="27"/>
        <v>146.18801792678397</v>
      </c>
      <c r="C10">
        <f t="shared" si="0"/>
        <v>526.27686453642229</v>
      </c>
      <c r="D10">
        <f t="shared" si="1"/>
        <v>9664.8041640584306</v>
      </c>
      <c r="E10">
        <f t="shared" si="2"/>
        <v>0.67668210229453152</v>
      </c>
      <c r="F10">
        <f t="shared" si="3"/>
        <v>4.128677651684344E-2</v>
      </c>
      <c r="G10" s="7">
        <f t="shared" si="4"/>
        <v>21964.87759269018</v>
      </c>
      <c r="H10" s="8">
        <f t="shared" si="5"/>
        <v>16.38980224136585</v>
      </c>
      <c r="I10" s="7">
        <f t="shared" si="6"/>
        <v>21964.877592690176</v>
      </c>
      <c r="J10" s="7">
        <f t="shared" si="7"/>
        <v>31499.928828134918</v>
      </c>
      <c r="K10" s="7">
        <f t="shared" si="8"/>
        <v>42225.105667741176</v>
      </c>
      <c r="L10" s="10">
        <f t="shared" si="9"/>
        <v>0.44515635934994979</v>
      </c>
      <c r="M10">
        <f t="shared" si="10"/>
        <v>46762.538315008016</v>
      </c>
      <c r="N10">
        <f t="shared" si="11"/>
        <v>0.44963979149046168</v>
      </c>
      <c r="O10">
        <f t="shared" si="12"/>
        <v>89895.931052223663</v>
      </c>
      <c r="P10" s="7">
        <f t="shared" si="13"/>
        <v>24797.660722317836</v>
      </c>
      <c r="Q10" s="8">
        <f t="shared" si="14"/>
        <v>3.9500889276066919</v>
      </c>
      <c r="R10" s="7">
        <f t="shared" si="15"/>
        <v>47670.825384482487</v>
      </c>
      <c r="S10">
        <f t="shared" si="16"/>
        <v>10.069780195045855</v>
      </c>
      <c r="T10" s="13">
        <f t="shared" si="17"/>
        <v>4.1286776516843426E-2</v>
      </c>
      <c r="U10" s="13">
        <f t="shared" si="18"/>
        <v>21964.877592690176</v>
      </c>
      <c r="V10" s="14">
        <f t="shared" si="19"/>
        <v>31499.928828134907</v>
      </c>
      <c r="W10" s="14">
        <f t="shared" si="20"/>
        <v>42225.105667741162</v>
      </c>
      <c r="X10" s="14">
        <f t="shared" si="21"/>
        <v>24797.66072231784</v>
      </c>
      <c r="Y10" s="15">
        <f t="shared" si="22"/>
        <v>3.9500889276066919</v>
      </c>
      <c r="Z10" s="14">
        <f t="shared" si="23"/>
        <v>47670.825384482501</v>
      </c>
      <c r="AA10" s="13">
        <f t="shared" si="24"/>
        <v>10.069780195045857</v>
      </c>
      <c r="AC10">
        <f t="shared" si="25"/>
        <v>3850.1363113809593</v>
      </c>
      <c r="AD10">
        <f t="shared" si="26"/>
        <v>7.8584204597849521</v>
      </c>
    </row>
    <row r="11" spans="1:30" ht="12" customHeight="1">
      <c r="B11" s="8">
        <f t="shared" si="27"/>
        <v>152.18801792678397</v>
      </c>
      <c r="C11">
        <f t="shared" si="0"/>
        <v>547.87686453642232</v>
      </c>
      <c r="D11">
        <f t="shared" si="1"/>
        <v>10474.430623503751</v>
      </c>
      <c r="E11">
        <f t="shared" si="2"/>
        <v>0.62437761393204372</v>
      </c>
      <c r="F11">
        <f t="shared" si="3"/>
        <v>3.7825979051287539E-2</v>
      </c>
      <c r="G11" s="7">
        <f t="shared" si="4"/>
        <v>21809.482202136744</v>
      </c>
      <c r="H11" s="8">
        <f t="shared" si="5"/>
        <v>16.506581708974718</v>
      </c>
      <c r="I11" s="7">
        <f t="shared" si="6"/>
        <v>21809.482202136744</v>
      </c>
      <c r="J11" s="7">
        <f t="shared" si="7"/>
        <v>32560.781728539623</v>
      </c>
      <c r="K11" s="7">
        <f t="shared" si="8"/>
        <v>43647.160494020944</v>
      </c>
      <c r="L11" s="10">
        <f t="shared" si="9"/>
        <v>0.46342692758104376</v>
      </c>
      <c r="M11">
        <f t="shared" si="10"/>
        <v>46249.756864394643</v>
      </c>
      <c r="N11">
        <f t="shared" si="11"/>
        <v>0.44470920061917929</v>
      </c>
      <c r="O11">
        <f t="shared" si="12"/>
        <v>92559.307092210758</v>
      </c>
      <c r="P11" s="7">
        <f t="shared" si="13"/>
        <v>24440.2746622579</v>
      </c>
      <c r="Q11" s="8">
        <f t="shared" si="14"/>
        <v>3.8930714958628019</v>
      </c>
      <c r="R11" s="7">
        <f t="shared" si="15"/>
        <v>48912.146598189815</v>
      </c>
      <c r="S11">
        <f t="shared" si="16"/>
        <v>10.331991551208972</v>
      </c>
      <c r="T11" s="13">
        <f t="shared" si="17"/>
        <v>3.7825979051287539E-2</v>
      </c>
      <c r="U11" s="13">
        <f t="shared" si="18"/>
        <v>21809.482202136744</v>
      </c>
      <c r="V11" s="14">
        <f t="shared" si="19"/>
        <v>32560.781728539623</v>
      </c>
      <c r="W11" s="14">
        <f t="shared" si="20"/>
        <v>43647.160494020944</v>
      </c>
      <c r="X11" s="14">
        <f t="shared" si="21"/>
        <v>24440.2746622579</v>
      </c>
      <c r="Y11" s="15">
        <f t="shared" si="22"/>
        <v>3.8930714958628019</v>
      </c>
      <c r="Z11" s="14">
        <f t="shared" si="23"/>
        <v>48912.146598189815</v>
      </c>
      <c r="AA11" s="13">
        <f t="shared" si="24"/>
        <v>10.331991551208972</v>
      </c>
      <c r="AC11">
        <f t="shared" si="25"/>
        <v>4036.7162353599078</v>
      </c>
      <c r="AD11">
        <f t="shared" si="26"/>
        <v>7.914412725220842</v>
      </c>
    </row>
    <row r="12" spans="1:30" ht="12" customHeight="1">
      <c r="B12" s="8">
        <f t="shared" si="27"/>
        <v>158.18801792678397</v>
      </c>
      <c r="C12">
        <f t="shared" si="0"/>
        <v>569.47686453642234</v>
      </c>
      <c r="D12">
        <f t="shared" si="1"/>
        <v>11316.618402713075</v>
      </c>
      <c r="E12">
        <f t="shared" si="2"/>
        <v>0.57791115395674075</v>
      </c>
      <c r="F12">
        <f t="shared" si="3"/>
        <v>3.4984866932985345E-2</v>
      </c>
      <c r="G12" s="7">
        <f t="shared" si="4"/>
        <v>21793.23241928202</v>
      </c>
      <c r="H12" s="8">
        <f t="shared" si="5"/>
        <v>16.518889583423267</v>
      </c>
      <c r="I12" s="7">
        <f t="shared" si="6"/>
        <v>21793.23241928202</v>
      </c>
      <c r="J12" s="7">
        <f t="shared" si="7"/>
        <v>33819.271040520987</v>
      </c>
      <c r="K12" s="7">
        <f t="shared" si="8"/>
        <v>45334.143485953064</v>
      </c>
      <c r="L12" s="10">
        <f t="shared" si="9"/>
        <v>0.48169749581213778</v>
      </c>
      <c r="M12">
        <f t="shared" si="10"/>
        <v>45763.304499149672</v>
      </c>
      <c r="N12">
        <f t="shared" si="11"/>
        <v>0.44003177403028532</v>
      </c>
      <c r="O12">
        <f t="shared" si="12"/>
        <v>95196.53499038679</v>
      </c>
      <c r="P12" s="7">
        <f t="shared" si="13"/>
        <v>23970.072079867652</v>
      </c>
      <c r="Q12" s="8">
        <f t="shared" si="14"/>
        <v>3.8180611688685193</v>
      </c>
      <c r="R12" s="7">
        <f t="shared" si="15"/>
        <v>49862.391504433726</v>
      </c>
      <c r="S12">
        <f t="shared" si="16"/>
        <v>10.532717199656688</v>
      </c>
      <c r="T12" s="13">
        <f t="shared" si="17"/>
        <v>3.4984866932985338E-2</v>
      </c>
      <c r="U12" s="13">
        <f t="shared" si="18"/>
        <v>21793.23241928202</v>
      </c>
      <c r="V12" s="14">
        <f t="shared" si="19"/>
        <v>33819.271040520987</v>
      </c>
      <c r="W12" s="14">
        <f t="shared" si="20"/>
        <v>45334.143485953064</v>
      </c>
      <c r="X12" s="14">
        <f t="shared" si="21"/>
        <v>23970.072079867652</v>
      </c>
      <c r="Y12" s="15">
        <f t="shared" si="22"/>
        <v>3.8180611688685193</v>
      </c>
      <c r="Z12" s="14">
        <f t="shared" si="23"/>
        <v>49862.391504433726</v>
      </c>
      <c r="AA12" s="13">
        <f t="shared" si="24"/>
        <v>10.532717199656688</v>
      </c>
      <c r="AC12">
        <f t="shared" si="25"/>
        <v>4198.9920184899802</v>
      </c>
      <c r="AD12">
        <f t="shared" si="26"/>
        <v>7.920313983268902</v>
      </c>
    </row>
    <row r="13" spans="1:30" ht="12" customHeight="1">
      <c r="B13" s="8">
        <f t="shared" si="27"/>
        <v>164.18801792678397</v>
      </c>
      <c r="C13">
        <f t="shared" si="0"/>
        <v>591.07686453642236</v>
      </c>
      <c r="D13">
        <f t="shared" si="1"/>
        <v>12191.3675016864</v>
      </c>
      <c r="E13">
        <f t="shared" si="2"/>
        <v>0.53644515261272685</v>
      </c>
      <c r="F13">
        <f t="shared" si="3"/>
        <v>3.2634929885123801E-2</v>
      </c>
      <c r="G13" s="7">
        <f t="shared" si="4"/>
        <v>21900.793960806197</v>
      </c>
      <c r="H13" s="8">
        <f t="shared" si="5"/>
        <v>16.437760231170536</v>
      </c>
      <c r="I13" s="7">
        <f t="shared" si="6"/>
        <v>21900.793960806201</v>
      </c>
      <c r="J13" s="7">
        <f t="shared" si="7"/>
        <v>35275.268403701448</v>
      </c>
      <c r="K13" s="7">
        <f t="shared" si="8"/>
        <v>47285.882578688266</v>
      </c>
      <c r="L13" s="10">
        <f t="shared" si="9"/>
        <v>0.49996806404323174</v>
      </c>
      <c r="M13">
        <f t="shared" si="10"/>
        <v>45303.181219273123</v>
      </c>
      <c r="N13">
        <f t="shared" si="11"/>
        <v>0.43560751172378004</v>
      </c>
      <c r="O13">
        <f t="shared" si="12"/>
        <v>97813.846904787162</v>
      </c>
      <c r="P13" s="7">
        <f t="shared" si="13"/>
        <v>23402.387258466926</v>
      </c>
      <c r="Q13" s="8">
        <f t="shared" si="14"/>
        <v>3.7275084449735787</v>
      </c>
      <c r="R13" s="7">
        <f t="shared" si="15"/>
        <v>50527.964326098896</v>
      </c>
      <c r="S13">
        <f t="shared" si="16"/>
        <v>10.673309940896415</v>
      </c>
      <c r="T13" s="13">
        <f t="shared" si="17"/>
        <v>3.2634929885123808E-2</v>
      </c>
      <c r="U13" s="13">
        <f t="shared" si="18"/>
        <v>21900.793960806201</v>
      </c>
      <c r="V13" s="14">
        <f t="shared" si="19"/>
        <v>35275.268403701455</v>
      </c>
      <c r="W13" s="14">
        <f t="shared" si="20"/>
        <v>47285.882578688281</v>
      </c>
      <c r="X13" s="14">
        <f t="shared" si="21"/>
        <v>23402.387258466923</v>
      </c>
      <c r="Y13" s="15">
        <f t="shared" si="22"/>
        <v>3.7275084449735778</v>
      </c>
      <c r="Z13" s="14">
        <f t="shared" si="23"/>
        <v>50527.964326098881</v>
      </c>
      <c r="AA13" s="13">
        <f t="shared" si="24"/>
        <v>10.673309940896411</v>
      </c>
      <c r="AC13">
        <f t="shared" si="25"/>
        <v>4336.8531410844707</v>
      </c>
      <c r="AD13">
        <f t="shared" si="26"/>
        <v>7.8814148829476727</v>
      </c>
    </row>
    <row r="14" spans="1:30" ht="12" customHeight="1">
      <c r="B14" s="8">
        <f t="shared" si="27"/>
        <v>170.18801792678397</v>
      </c>
      <c r="C14">
        <f t="shared" si="0"/>
        <v>612.67686453642227</v>
      </c>
      <c r="D14">
        <f t="shared" si="1"/>
        <v>13098.677920423732</v>
      </c>
      <c r="E14">
        <f t="shared" si="2"/>
        <v>0.49928703031950233</v>
      </c>
      <c r="F14">
        <f t="shared" si="3"/>
        <v>3.0677702758400802E-2</v>
      </c>
      <c r="G14" s="7">
        <f t="shared" si="4"/>
        <v>22119.487033254314</v>
      </c>
      <c r="H14" s="8">
        <f t="shared" si="5"/>
        <v>16.275241801890701</v>
      </c>
      <c r="I14" s="7">
        <f t="shared" si="6"/>
        <v>22119.487033254318</v>
      </c>
      <c r="J14" s="7">
        <f t="shared" si="7"/>
        <v>36929.466942875624</v>
      </c>
      <c r="K14" s="7">
        <f t="shared" si="8"/>
        <v>49503.306893935151</v>
      </c>
      <c r="L14" s="10">
        <f t="shared" si="9"/>
        <v>0.51823863227432576</v>
      </c>
      <c r="M14">
        <f t="shared" si="10"/>
        <v>44869.387024764983</v>
      </c>
      <c r="N14">
        <f t="shared" si="11"/>
        <v>0.43143641369966329</v>
      </c>
      <c r="O14">
        <f t="shared" si="12"/>
        <v>100417.47499344713</v>
      </c>
      <c r="P14" s="7">
        <f t="shared" si="13"/>
        <v>22749.899991510669</v>
      </c>
      <c r="Q14" s="8">
        <f t="shared" si="14"/>
        <v>3.6234401861144767</v>
      </c>
      <c r="R14" s="7">
        <f t="shared" si="15"/>
        <v>50914.168099511982</v>
      </c>
      <c r="S14">
        <f t="shared" si="16"/>
        <v>10.75488996552156</v>
      </c>
      <c r="T14" s="13">
        <f t="shared" si="17"/>
        <v>3.0677702758400802E-2</v>
      </c>
      <c r="U14" s="13">
        <f t="shared" si="18"/>
        <v>22119.487033254318</v>
      </c>
      <c r="V14" s="14">
        <f t="shared" si="19"/>
        <v>36929.466942875639</v>
      </c>
      <c r="W14" s="14">
        <f t="shared" si="20"/>
        <v>49503.306893935172</v>
      </c>
      <c r="X14" s="14">
        <f t="shared" si="21"/>
        <v>22749.899991510665</v>
      </c>
      <c r="Y14" s="15">
        <f t="shared" si="22"/>
        <v>3.6234401861144758</v>
      </c>
      <c r="Z14" s="14">
        <f t="shared" si="23"/>
        <v>50914.16809951196</v>
      </c>
      <c r="AA14" s="13">
        <f t="shared" si="24"/>
        <v>10.754889965521555</v>
      </c>
      <c r="AC14">
        <f t="shared" si="25"/>
        <v>4450.8918777663666</v>
      </c>
      <c r="AD14">
        <f t="shared" si="26"/>
        <v>7.8034921520362888</v>
      </c>
    </row>
    <row r="15" spans="1:30" ht="12" customHeight="1">
      <c r="B15" s="8">
        <f t="shared" si="27"/>
        <v>176.18801792678397</v>
      </c>
      <c r="C15">
        <f t="shared" si="0"/>
        <v>634.27686453642229</v>
      </c>
      <c r="D15">
        <f t="shared" si="1"/>
        <v>14038.549658925067</v>
      </c>
      <c r="E15">
        <f t="shared" si="2"/>
        <v>0.46586008946032165</v>
      </c>
      <c r="F15">
        <f t="shared" si="3"/>
        <v>2.9036999096281085E-2</v>
      </c>
      <c r="G15" s="7">
        <f t="shared" si="4"/>
        <v>22438.753417943357</v>
      </c>
      <c r="H15" s="8">
        <f t="shared" si="5"/>
        <v>16.043672003281728</v>
      </c>
      <c r="I15" s="7">
        <f t="shared" si="6"/>
        <v>22438.753417943357</v>
      </c>
      <c r="J15" s="7">
        <f t="shared" si="7"/>
        <v>38783.241391556388</v>
      </c>
      <c r="K15" s="7">
        <f t="shared" si="8"/>
        <v>51988.259238011247</v>
      </c>
      <c r="L15" s="10">
        <f t="shared" si="9"/>
        <v>0.53650920050541973</v>
      </c>
      <c r="M15">
        <f t="shared" si="10"/>
        <v>44461.921915625258</v>
      </c>
      <c r="N15">
        <f t="shared" si="11"/>
        <v>0.42751847995793518</v>
      </c>
      <c r="O15">
        <f t="shared" si="12"/>
        <v>103013.65141440205</v>
      </c>
      <c r="P15" s="7">
        <f t="shared" si="13"/>
        <v>22023.168497681901</v>
      </c>
      <c r="Q15" s="8">
        <f t="shared" si="14"/>
        <v>3.5075444380665375</v>
      </c>
      <c r="R15" s="7">
        <f t="shared" si="15"/>
        <v>51025.3921763908</v>
      </c>
      <c r="S15">
        <f t="shared" si="16"/>
        <v>10.778384461317119</v>
      </c>
      <c r="T15" s="13">
        <f t="shared" si="17"/>
        <v>2.9036999096281085E-2</v>
      </c>
      <c r="U15" s="13">
        <f t="shared" si="18"/>
        <v>22438.753417943357</v>
      </c>
      <c r="V15" s="14">
        <f t="shared" si="19"/>
        <v>38783.241391556388</v>
      </c>
      <c r="W15" s="14">
        <f t="shared" si="20"/>
        <v>51988.259238011247</v>
      </c>
      <c r="X15" s="14">
        <f t="shared" si="21"/>
        <v>22023.168497681901</v>
      </c>
      <c r="Y15" s="15">
        <f t="shared" si="22"/>
        <v>3.5075444380665375</v>
      </c>
      <c r="Z15" s="14">
        <f t="shared" si="23"/>
        <v>51025.3921763908</v>
      </c>
      <c r="AA15" s="13">
        <f t="shared" si="24"/>
        <v>10.778384461317119</v>
      </c>
      <c r="AC15">
        <f t="shared" si="25"/>
        <v>4542.2471281613562</v>
      </c>
      <c r="AD15">
        <f t="shared" si="26"/>
        <v>7.6924613527345036</v>
      </c>
    </row>
    <row r="16" spans="1:30" ht="12" customHeight="1">
      <c r="B16" s="8">
        <f t="shared" si="27"/>
        <v>182.18801792678397</v>
      </c>
      <c r="C16">
        <f t="shared" si="0"/>
        <v>655.87686453642232</v>
      </c>
      <c r="D16">
        <f t="shared" si="1"/>
        <v>15010.982717190407</v>
      </c>
      <c r="E16">
        <f t="shared" si="2"/>
        <v>0.43568100258422565</v>
      </c>
      <c r="F16">
        <f t="shared" si="3"/>
        <v>2.7653331987876541E-2</v>
      </c>
      <c r="G16" s="7">
        <f t="shared" si="4"/>
        <v>22849.744323453764</v>
      </c>
      <c r="H16" s="8">
        <f t="shared" si="5"/>
        <v>15.755099702821777</v>
      </c>
      <c r="I16" s="7">
        <f t="shared" si="6"/>
        <v>22849.744323453764</v>
      </c>
      <c r="J16" s="7">
        <f t="shared" si="7"/>
        <v>40838.535854837726</v>
      </c>
      <c r="K16" s="7">
        <f t="shared" si="8"/>
        <v>54743.345649916526</v>
      </c>
      <c r="L16" s="10">
        <f t="shared" si="9"/>
        <v>0.55477976873651369</v>
      </c>
      <c r="M16">
        <f t="shared" si="10"/>
        <v>44080.785891853942</v>
      </c>
      <c r="N16">
        <f t="shared" si="11"/>
        <v>0.4238537104985956</v>
      </c>
      <c r="O16">
        <f t="shared" si="12"/>
        <v>105608.60832568724</v>
      </c>
      <c r="P16" s="7">
        <f t="shared" si="13"/>
        <v>21231.041568400178</v>
      </c>
      <c r="Q16" s="8">
        <f t="shared" si="14"/>
        <v>3.3812360773254651</v>
      </c>
      <c r="R16" s="7">
        <f t="shared" si="15"/>
        <v>50865.262675770711</v>
      </c>
      <c r="S16">
        <f t="shared" si="16"/>
        <v>10.744559394077742</v>
      </c>
      <c r="T16" s="13">
        <f t="shared" si="17"/>
        <v>2.7653331987876541E-2</v>
      </c>
      <c r="U16" s="13">
        <f t="shared" si="18"/>
        <v>22849.744323453764</v>
      </c>
      <c r="V16" s="14">
        <f t="shared" si="19"/>
        <v>40838.535854837726</v>
      </c>
      <c r="W16" s="14">
        <f t="shared" si="20"/>
        <v>54743.345649916526</v>
      </c>
      <c r="X16" s="14">
        <f t="shared" si="21"/>
        <v>21231.041568400178</v>
      </c>
      <c r="Y16" s="15">
        <f t="shared" si="22"/>
        <v>3.3812360773254651</v>
      </c>
      <c r="Z16" s="14">
        <f t="shared" si="23"/>
        <v>50865.262675770711</v>
      </c>
      <c r="AA16" s="13">
        <f t="shared" si="24"/>
        <v>10.744559394077742</v>
      </c>
      <c r="AC16">
        <f t="shared" si="25"/>
        <v>4612.4490443203194</v>
      </c>
      <c r="AD16">
        <f t="shared" si="26"/>
        <v>7.5540995569870093</v>
      </c>
    </row>
    <row r="17" spans="1:30" ht="12" customHeight="1">
      <c r="B17" s="8">
        <f t="shared" si="27"/>
        <v>188.18801792678397</v>
      </c>
      <c r="C17">
        <f t="shared" si="0"/>
        <v>677.47686453642234</v>
      </c>
      <c r="D17">
        <f t="shared" si="1"/>
        <v>16015.977095219749</v>
      </c>
      <c r="E17">
        <f t="shared" si="2"/>
        <v>0.40834224231951344</v>
      </c>
      <c r="F17">
        <f t="shared" si="3"/>
        <v>2.647985866866874E-2</v>
      </c>
      <c r="G17" s="7">
        <f t="shared" si="4"/>
        <v>23344.998711305761</v>
      </c>
      <c r="H17" s="8">
        <f t="shared" si="5"/>
        <v>15.420861849337152</v>
      </c>
      <c r="I17" s="7">
        <f t="shared" si="6"/>
        <v>23344.998711305761</v>
      </c>
      <c r="J17" s="7">
        <f t="shared" si="7"/>
        <v>43097.773043002628</v>
      </c>
      <c r="K17" s="7">
        <f t="shared" si="8"/>
        <v>57771.813730566522</v>
      </c>
      <c r="L17" s="10">
        <f t="shared" si="9"/>
        <v>0.57305033696760777</v>
      </c>
      <c r="M17">
        <f t="shared" si="10"/>
        <v>43725.978953451042</v>
      </c>
      <c r="N17">
        <f t="shared" si="11"/>
        <v>0.42044210532164461</v>
      </c>
      <c r="O17">
        <f t="shared" si="12"/>
        <v>108208.57788533803</v>
      </c>
      <c r="P17" s="7">
        <f t="shared" si="13"/>
        <v>20380.98024214528</v>
      </c>
      <c r="Q17" s="8">
        <f t="shared" si="14"/>
        <v>3.2457080829894713</v>
      </c>
      <c r="R17" s="7">
        <f t="shared" si="15"/>
        <v>50436.76415477151</v>
      </c>
      <c r="S17">
        <f t="shared" si="16"/>
        <v>10.654045208817404</v>
      </c>
      <c r="T17" s="13">
        <f t="shared" si="17"/>
        <v>2.6479858668668744E-2</v>
      </c>
      <c r="U17" s="13">
        <f t="shared" si="18"/>
        <v>23344.998711305761</v>
      </c>
      <c r="V17" s="14">
        <f t="shared" si="19"/>
        <v>43097.773043002628</v>
      </c>
      <c r="W17" s="14">
        <f t="shared" si="20"/>
        <v>57771.813730566522</v>
      </c>
      <c r="X17" s="14">
        <f t="shared" si="21"/>
        <v>20380.98024214528</v>
      </c>
      <c r="Y17" s="15">
        <f t="shared" si="22"/>
        <v>3.2457080829894713</v>
      </c>
      <c r="Z17" s="14">
        <f t="shared" si="23"/>
        <v>50436.76415477151</v>
      </c>
      <c r="AA17" s="13">
        <f t="shared" si="24"/>
        <v>10.654045208817404</v>
      </c>
      <c r="AC17">
        <f t="shared" si="25"/>
        <v>4663.2771673900315</v>
      </c>
      <c r="AD17">
        <f t="shared" si="26"/>
        <v>7.3938424930165221</v>
      </c>
    </row>
    <row r="18" spans="1:30" ht="12" customHeight="1">
      <c r="B18" s="8">
        <f t="shared" si="27"/>
        <v>194.18801792678397</v>
      </c>
      <c r="C18">
        <f t="shared" si="0"/>
        <v>699.07686453642236</v>
      </c>
      <c r="D18">
        <f t="shared" si="1"/>
        <v>17053.532793013095</v>
      </c>
      <c r="E18">
        <f t="shared" si="2"/>
        <v>0.38349825102980817</v>
      </c>
      <c r="F18">
        <f t="shared" si="3"/>
        <v>2.5479400186016906E-2</v>
      </c>
      <c r="G18" s="7">
        <f t="shared" si="4"/>
        <v>23918.190089094125</v>
      </c>
      <c r="H18" s="8">
        <f t="shared" si="5"/>
        <v>15.051306083738659</v>
      </c>
      <c r="I18" s="7">
        <f t="shared" si="6"/>
        <v>23918.190089094118</v>
      </c>
      <c r="J18" s="7">
        <f t="shared" si="7"/>
        <v>45563.780332070892</v>
      </c>
      <c r="K18" s="7">
        <f t="shared" si="8"/>
        <v>61077.453528245162</v>
      </c>
      <c r="L18" s="10">
        <f t="shared" si="9"/>
        <v>0.59132090519870173</v>
      </c>
      <c r="M18">
        <f t="shared" si="10"/>
        <v>43397.501100416557</v>
      </c>
      <c r="N18">
        <f t="shared" si="11"/>
        <v>0.41728366442708226</v>
      </c>
      <c r="O18">
        <f t="shared" si="12"/>
        <v>110819.79225138976</v>
      </c>
      <c r="P18" s="7">
        <f t="shared" si="13"/>
        <v>19479.311011322432</v>
      </c>
      <c r="Q18" s="8">
        <f t="shared" si="14"/>
        <v>3.1019719217800894</v>
      </c>
      <c r="R18" s="7">
        <f t="shared" si="15"/>
        <v>49742.338723144603</v>
      </c>
      <c r="S18">
        <f t="shared" si="16"/>
        <v>10.507357766300226</v>
      </c>
      <c r="T18" s="13">
        <f t="shared" si="17"/>
        <v>2.5479400186016899E-2</v>
      </c>
      <c r="U18" s="13">
        <f t="shared" si="18"/>
        <v>23918.190089094118</v>
      </c>
      <c r="V18" s="14">
        <f t="shared" si="19"/>
        <v>45563.780332070877</v>
      </c>
      <c r="W18" s="14">
        <f t="shared" si="20"/>
        <v>61077.453528245147</v>
      </c>
      <c r="X18" s="14">
        <f t="shared" si="21"/>
        <v>19479.311011322439</v>
      </c>
      <c r="Y18" s="15">
        <f t="shared" si="22"/>
        <v>3.1019719217800907</v>
      </c>
      <c r="Z18" s="14">
        <f t="shared" si="23"/>
        <v>49742.338723144618</v>
      </c>
      <c r="AA18" s="13">
        <f t="shared" si="24"/>
        <v>10.507357766300228</v>
      </c>
      <c r="AC18">
        <f t="shared" si="25"/>
        <v>4696.6395509126251</v>
      </c>
      <c r="AD18">
        <f t="shared" si="26"/>
        <v>7.2166515454600599</v>
      </c>
    </row>
    <row r="19" spans="1:30" ht="12" customHeight="1">
      <c r="B19" s="8">
        <f t="shared" si="27"/>
        <v>200.18801792678397</v>
      </c>
      <c r="C19">
        <f t="shared" si="0"/>
        <v>720.67686453642227</v>
      </c>
      <c r="D19">
        <f t="shared" si="1"/>
        <v>18123.649810570445</v>
      </c>
      <c r="E19">
        <f t="shared" si="2"/>
        <v>0.36085446741448329</v>
      </c>
      <c r="F19">
        <f t="shared" si="3"/>
        <v>2.4622228592097846E-2</v>
      </c>
      <c r="G19" s="7">
        <f t="shared" si="4"/>
        <v>24563.925608752092</v>
      </c>
      <c r="H19" s="8">
        <f t="shared" si="5"/>
        <v>14.655637935645451</v>
      </c>
      <c r="I19" s="7">
        <f t="shared" si="6"/>
        <v>24563.925608752095</v>
      </c>
      <c r="J19" s="7">
        <f t="shared" si="7"/>
        <v>48239.729120948279</v>
      </c>
      <c r="K19" s="7">
        <f t="shared" si="8"/>
        <v>64664.516247919943</v>
      </c>
      <c r="L19" s="10">
        <f t="shared" si="9"/>
        <v>0.60959147342979569</v>
      </c>
      <c r="M19">
        <f t="shared" si="10"/>
        <v>43095.352332750481</v>
      </c>
      <c r="N19">
        <f t="shared" si="11"/>
        <v>0.41437838781490849</v>
      </c>
      <c r="O19">
        <f t="shared" si="12"/>
        <v>113448.48358187775</v>
      </c>
      <c r="P19" s="7">
        <f t="shared" si="13"/>
        <v>18531.426723998389</v>
      </c>
      <c r="Q19" s="8">
        <f t="shared" si="14"/>
        <v>2.9508896100528741</v>
      </c>
      <c r="R19" s="7">
        <f t="shared" si="15"/>
        <v>48783.967333957808</v>
      </c>
      <c r="S19">
        <f t="shared" si="16"/>
        <v>10.304915514535203</v>
      </c>
      <c r="T19" s="13">
        <f t="shared" si="17"/>
        <v>2.4622228592097853E-2</v>
      </c>
      <c r="U19" s="13">
        <f t="shared" si="18"/>
        <v>24563.925608752095</v>
      </c>
      <c r="V19" s="14">
        <f t="shared" si="19"/>
        <v>48239.729120948286</v>
      </c>
      <c r="W19" s="14">
        <f t="shared" si="20"/>
        <v>64664.516247919957</v>
      </c>
      <c r="X19" s="14">
        <f t="shared" si="21"/>
        <v>18531.426723998386</v>
      </c>
      <c r="Y19" s="15">
        <f t="shared" si="22"/>
        <v>2.9508896100528736</v>
      </c>
      <c r="Z19" s="14">
        <f t="shared" si="23"/>
        <v>48783.967333957793</v>
      </c>
      <c r="AA19" s="13">
        <f t="shared" si="24"/>
        <v>10.3049155145352</v>
      </c>
      <c r="AC19">
        <f t="shared" si="25"/>
        <v>4714.4759147507029</v>
      </c>
      <c r="AD19">
        <f t="shared" si="26"/>
        <v>7.0269404907157034</v>
      </c>
    </row>
    <row r="20" spans="1:30" ht="12" customHeight="1">
      <c r="B20" s="8">
        <f t="shared" si="27"/>
        <v>206.18801792678397</v>
      </c>
      <c r="C20">
        <f t="shared" si="0"/>
        <v>742.27686453642229</v>
      </c>
      <c r="D20">
        <f t="shared" si="1"/>
        <v>19226.328147891796</v>
      </c>
      <c r="E20">
        <f t="shared" si="2"/>
        <v>0.34015855496137065</v>
      </c>
      <c r="F20">
        <f t="shared" si="3"/>
        <v>2.3884408190528231E-2</v>
      </c>
      <c r="G20" s="7">
        <f t="shared" si="4"/>
        <v>25277.585476474695</v>
      </c>
      <c r="H20" s="8">
        <f t="shared" si="5"/>
        <v>14.241866587101217</v>
      </c>
      <c r="I20" s="7">
        <f t="shared" si="6"/>
        <v>25277.585476474698</v>
      </c>
      <c r="J20" s="7">
        <f t="shared" si="7"/>
        <v>51129.084776691649</v>
      </c>
      <c r="K20" s="7">
        <f t="shared" si="8"/>
        <v>68537.64715374216</v>
      </c>
      <c r="L20" s="10">
        <f t="shared" si="9"/>
        <v>0.62786204166088977</v>
      </c>
      <c r="M20">
        <f t="shared" si="10"/>
        <v>42819.53265045282</v>
      </c>
      <c r="N20">
        <f t="shared" si="11"/>
        <v>0.41172627548512325</v>
      </c>
      <c r="O20">
        <f t="shared" si="12"/>
        <v>116100.88403483733</v>
      </c>
      <c r="P20" s="7">
        <f t="shared" si="13"/>
        <v>17541.947173978126</v>
      </c>
      <c r="Q20" s="8">
        <f t="shared" si="14"/>
        <v>2.7931993567760989</v>
      </c>
      <c r="R20" s="7">
        <f t="shared" si="15"/>
        <v>47563.236881095174</v>
      </c>
      <c r="S20">
        <f t="shared" si="16"/>
        <v>10.047053662163609</v>
      </c>
      <c r="T20" s="13">
        <f t="shared" si="17"/>
        <v>2.3884408190528238E-2</v>
      </c>
      <c r="U20" s="13">
        <f t="shared" si="18"/>
        <v>25277.585476474698</v>
      </c>
      <c r="V20" s="14">
        <f t="shared" si="19"/>
        <v>51129.084776691656</v>
      </c>
      <c r="W20" s="14">
        <f t="shared" si="20"/>
        <v>68537.64715374216</v>
      </c>
      <c r="X20" s="14">
        <f t="shared" si="21"/>
        <v>17541.947173978122</v>
      </c>
      <c r="Y20" s="15">
        <f t="shared" si="22"/>
        <v>2.7931993567760984</v>
      </c>
      <c r="Z20" s="14">
        <f t="shared" si="23"/>
        <v>47563.236881095174</v>
      </c>
      <c r="AA20" s="13">
        <f t="shared" si="24"/>
        <v>10.047053662163609</v>
      </c>
      <c r="AC20">
        <f t="shared" si="25"/>
        <v>4718.684617274942</v>
      </c>
      <c r="AD20">
        <f t="shared" si="26"/>
        <v>6.8285494922650791</v>
      </c>
    </row>
    <row r="21" spans="1:30" ht="12" customHeight="1">
      <c r="B21" s="8">
        <f t="shared" si="27"/>
        <v>212.18801792678397</v>
      </c>
      <c r="C21">
        <f t="shared" si="0"/>
        <v>763.87686453642232</v>
      </c>
      <c r="D21">
        <f t="shared" si="1"/>
        <v>20361.567804977152</v>
      </c>
      <c r="E21">
        <f t="shared" si="2"/>
        <v>0.32119334142832418</v>
      </c>
      <c r="F21">
        <f t="shared" si="3"/>
        <v>2.3246540895274059E-2</v>
      </c>
      <c r="G21" s="7">
        <f t="shared" si="4"/>
        <v>26055.19368827323</v>
      </c>
      <c r="H21" s="8">
        <f t="shared" si="5"/>
        <v>13.816823022199474</v>
      </c>
      <c r="I21" s="7">
        <f t="shared" si="6"/>
        <v>26055.19368827323</v>
      </c>
      <c r="J21" s="7">
        <f t="shared" si="7"/>
        <v>54235.565072102989</v>
      </c>
      <c r="K21" s="7">
        <f t="shared" si="8"/>
        <v>72701.829855365941</v>
      </c>
      <c r="L21" s="10">
        <f t="shared" si="9"/>
        <v>0.64613260989198373</v>
      </c>
      <c r="M21">
        <f t="shared" si="10"/>
        <v>42570.042053523561</v>
      </c>
      <c r="N21">
        <f t="shared" si="11"/>
        <v>0.40932732743772654</v>
      </c>
      <c r="O21">
        <f t="shared" si="12"/>
        <v>118783.22576830379</v>
      </c>
      <c r="P21" s="7">
        <f t="shared" si="13"/>
        <v>16514.848365250331</v>
      </c>
      <c r="Q21" s="8">
        <f t="shared" si="14"/>
        <v>2.6295362150747836</v>
      </c>
      <c r="R21" s="7">
        <f t="shared" si="15"/>
        <v>46081.395912937849</v>
      </c>
      <c r="S21">
        <f t="shared" si="16"/>
        <v>9.7340359471773805</v>
      </c>
      <c r="T21" s="13">
        <f t="shared" si="17"/>
        <v>2.3246540895274056E-2</v>
      </c>
      <c r="U21" s="13">
        <f t="shared" si="18"/>
        <v>26055.19368827323</v>
      </c>
      <c r="V21" s="14">
        <f t="shared" si="19"/>
        <v>54235.565072102989</v>
      </c>
      <c r="W21" s="14">
        <f t="shared" si="20"/>
        <v>72701.829855365941</v>
      </c>
      <c r="X21" s="14">
        <f t="shared" si="21"/>
        <v>16514.848365250331</v>
      </c>
      <c r="Y21" s="15">
        <f t="shared" si="22"/>
        <v>2.6295362150747836</v>
      </c>
      <c r="Z21" s="14">
        <f t="shared" si="23"/>
        <v>46081.395912937849</v>
      </c>
      <c r="AA21" s="13">
        <f t="shared" si="24"/>
        <v>9.7340359471773805</v>
      </c>
      <c r="AC21">
        <f t="shared" si="25"/>
        <v>4711.0711712131024</v>
      </c>
      <c r="AD21">
        <f t="shared" si="26"/>
        <v>6.6247538028763717</v>
      </c>
    </row>
    <row r="22" spans="1:30" ht="12" customHeight="1">
      <c r="B22" s="8">
        <f t="shared" si="27"/>
        <v>218.18801792678397</v>
      </c>
      <c r="C22">
        <f t="shared" si="0"/>
        <v>785.47686453642234</v>
      </c>
      <c r="D22">
        <f t="shared" si="1"/>
        <v>21529.368781826513</v>
      </c>
      <c r="E22">
        <f t="shared" si="2"/>
        <v>0.3037710982739345</v>
      </c>
      <c r="F22">
        <f t="shared" si="3"/>
        <v>2.2692809212719045E-2</v>
      </c>
      <c r="G22" s="7">
        <f t="shared" si="4"/>
        <v>26893.313297408724</v>
      </c>
      <c r="H22" s="8">
        <f t="shared" si="5"/>
        <v>13.386227127123357</v>
      </c>
      <c r="I22" s="7">
        <f t="shared" si="6"/>
        <v>26893.313297408728</v>
      </c>
      <c r="J22" s="7">
        <f t="shared" si="7"/>
        <v>57563.10548092566</v>
      </c>
      <c r="K22" s="7">
        <f t="shared" si="8"/>
        <v>77162.339786763623</v>
      </c>
      <c r="L22" s="10">
        <f t="shared" si="9"/>
        <v>0.6644031781230777</v>
      </c>
      <c r="M22">
        <f t="shared" si="10"/>
        <v>42346.880541962732</v>
      </c>
      <c r="N22">
        <f t="shared" si="11"/>
        <v>0.40718154367271858</v>
      </c>
      <c r="O22">
        <f t="shared" si="12"/>
        <v>121501.74094031253</v>
      </c>
      <c r="P22" s="7">
        <f t="shared" si="13"/>
        <v>15453.567244554008</v>
      </c>
      <c r="Q22" s="8">
        <f t="shared" si="14"/>
        <v>2.4604488224249481</v>
      </c>
      <c r="R22" s="7">
        <f t="shared" si="15"/>
        <v>44339.401153548912</v>
      </c>
      <c r="S22">
        <f t="shared" si="16"/>
        <v>9.3660644638541992</v>
      </c>
      <c r="T22" s="13">
        <f t="shared" si="17"/>
        <v>2.2692809212719049E-2</v>
      </c>
      <c r="U22" s="13">
        <f t="shared" si="18"/>
        <v>26893.313297408728</v>
      </c>
      <c r="V22" s="14">
        <f t="shared" si="19"/>
        <v>57563.105480925675</v>
      </c>
      <c r="W22" s="14">
        <f t="shared" si="20"/>
        <v>77162.339786763638</v>
      </c>
      <c r="X22" s="14">
        <f t="shared" si="21"/>
        <v>15453.567244554004</v>
      </c>
      <c r="Y22" s="15">
        <f t="shared" si="22"/>
        <v>2.4604488224249477</v>
      </c>
      <c r="Z22" s="14">
        <f t="shared" si="23"/>
        <v>44339.401153548897</v>
      </c>
      <c r="AA22" s="13">
        <f t="shared" si="24"/>
        <v>9.3660644638541957</v>
      </c>
      <c r="AC22">
        <f t="shared" si="25"/>
        <v>4693.3149718247305</v>
      </c>
      <c r="AD22">
        <f t="shared" si="26"/>
        <v>6.4182959370684927</v>
      </c>
    </row>
    <row r="23" spans="1:30" ht="12" customHeight="1">
      <c r="B23" s="8">
        <f t="shared" si="27"/>
        <v>224.18801792678397</v>
      </c>
      <c r="C23">
        <f t="shared" si="0"/>
        <v>807.07686453642236</v>
      </c>
      <c r="D23">
        <f t="shared" si="1"/>
        <v>22729.731078439876</v>
      </c>
      <c r="E23">
        <f t="shared" si="2"/>
        <v>0.28772887710068284</v>
      </c>
      <c r="F23">
        <f t="shared" si="3"/>
        <v>2.2210240427820604E-2</v>
      </c>
      <c r="G23" s="7">
        <f t="shared" si="4"/>
        <v>27788.961033680134</v>
      </c>
      <c r="H23" s="8">
        <f t="shared" si="5"/>
        <v>12.954784439896153</v>
      </c>
      <c r="I23" s="7">
        <f t="shared" si="6"/>
        <v>27788.961033680142</v>
      </c>
      <c r="J23" s="7">
        <f t="shared" si="7"/>
        <v>61115.830045920608</v>
      </c>
      <c r="K23" s="7">
        <f t="shared" si="8"/>
        <v>81924.705155389558</v>
      </c>
      <c r="L23" s="10">
        <f t="shared" si="9"/>
        <v>0.68267374635417166</v>
      </c>
      <c r="M23">
        <f t="shared" si="10"/>
        <v>42150.048115770311</v>
      </c>
      <c r="N23">
        <f t="shared" si="11"/>
        <v>0.40528892419009915</v>
      </c>
      <c r="O23">
        <f t="shared" si="12"/>
        <v>124262.66170889883</v>
      </c>
      <c r="P23" s="7">
        <f t="shared" si="13"/>
        <v>14361.087082090176</v>
      </c>
      <c r="Q23" s="8">
        <f t="shared" si="14"/>
        <v>2.2864130535938445</v>
      </c>
      <c r="R23" s="7">
        <f t="shared" si="15"/>
        <v>42337.95655350927</v>
      </c>
      <c r="S23">
        <f t="shared" si="16"/>
        <v>8.9432879116881629</v>
      </c>
      <c r="T23" s="13">
        <f t="shared" si="17"/>
        <v>2.2210240427820611E-2</v>
      </c>
      <c r="U23" s="13">
        <f t="shared" si="18"/>
        <v>27788.961033680142</v>
      </c>
      <c r="V23" s="14">
        <f t="shared" si="19"/>
        <v>61115.830045920622</v>
      </c>
      <c r="W23" s="14">
        <f t="shared" si="20"/>
        <v>81924.705155389573</v>
      </c>
      <c r="X23" s="14">
        <f t="shared" si="21"/>
        <v>14361.087082090169</v>
      </c>
      <c r="Y23" s="15">
        <f t="shared" si="22"/>
        <v>2.2864130535938432</v>
      </c>
      <c r="Z23" s="14">
        <f t="shared" si="23"/>
        <v>42337.956553509255</v>
      </c>
      <c r="AA23" s="13">
        <f t="shared" si="24"/>
        <v>8.9432879116881594</v>
      </c>
      <c r="AC23">
        <f t="shared" si="25"/>
        <v>4666.9505880058587</v>
      </c>
      <c r="AD23">
        <f t="shared" si="26"/>
        <v>6.2114320597256789</v>
      </c>
    </row>
    <row r="24" spans="1:30" ht="12" customHeight="1">
      <c r="B24" s="8">
        <f t="shared" si="27"/>
        <v>230.18801792678397</v>
      </c>
      <c r="C24">
        <f t="shared" si="0"/>
        <v>828.67686453642227</v>
      </c>
      <c r="D24">
        <f t="shared" si="1"/>
        <v>23962.654694817244</v>
      </c>
      <c r="E24">
        <f t="shared" si="2"/>
        <v>0.27292468565323447</v>
      </c>
      <c r="F24">
        <f t="shared" si="3"/>
        <v>2.1788136615570622E-2</v>
      </c>
      <c r="G24" s="7">
        <f t="shared" si="4"/>
        <v>28739.53729334438</v>
      </c>
      <c r="H24" s="8">
        <f t="shared" si="5"/>
        <v>12.52629770359491</v>
      </c>
      <c r="I24" s="7">
        <f t="shared" si="6"/>
        <v>28739.537293344383</v>
      </c>
      <c r="J24" s="7">
        <f t="shared" si="7"/>
        <v>64898.026802997636</v>
      </c>
      <c r="K24" s="7">
        <f t="shared" si="8"/>
        <v>86994.673998656348</v>
      </c>
      <c r="L24" s="10">
        <f t="shared" si="9"/>
        <v>0.70094431458526574</v>
      </c>
      <c r="M24">
        <f t="shared" si="10"/>
        <v>41979.544774946298</v>
      </c>
      <c r="N24">
        <f t="shared" si="11"/>
        <v>0.40364946898986825</v>
      </c>
      <c r="O24">
        <f t="shared" si="12"/>
        <v>127072.220232098</v>
      </c>
      <c r="P24" s="7">
        <f t="shared" si="13"/>
        <v>13240.007481601919</v>
      </c>
      <c r="Q24" s="8">
        <f t="shared" si="14"/>
        <v>2.1078432201175756</v>
      </c>
      <c r="R24" s="7">
        <f t="shared" si="15"/>
        <v>40077.546233441652</v>
      </c>
      <c r="S24">
        <f t="shared" si="16"/>
        <v>8.4658085542381567</v>
      </c>
      <c r="T24" s="13">
        <f t="shared" si="17"/>
        <v>2.1788136615570629E-2</v>
      </c>
      <c r="U24" s="13">
        <f t="shared" si="18"/>
        <v>28739.537293344383</v>
      </c>
      <c r="V24" s="14">
        <f t="shared" si="19"/>
        <v>64898.026802997651</v>
      </c>
      <c r="W24" s="14">
        <f t="shared" si="20"/>
        <v>86994.673998656363</v>
      </c>
      <c r="X24" s="14">
        <f t="shared" si="21"/>
        <v>13240.007481601915</v>
      </c>
      <c r="Y24" s="15">
        <f t="shared" si="22"/>
        <v>2.1078432201175752</v>
      </c>
      <c r="Z24" s="14">
        <f t="shared" si="23"/>
        <v>40077.546233441637</v>
      </c>
      <c r="AA24" s="13">
        <f t="shared" si="24"/>
        <v>8.4658085542381531</v>
      </c>
      <c r="AC24">
        <f t="shared" si="25"/>
        <v>4633.3601258969193</v>
      </c>
      <c r="AD24">
        <f t="shared" si="26"/>
        <v>6.005985472530277</v>
      </c>
    </row>
    <row r="25" spans="1:30" ht="12" customHeight="1">
      <c r="B25" s="8">
        <f t="shared" si="27"/>
        <v>236.18801792678397</v>
      </c>
      <c r="C25">
        <f t="shared" si="0"/>
        <v>850.27686453642229</v>
      </c>
      <c r="D25">
        <f t="shared" si="1"/>
        <v>25228.139630958616</v>
      </c>
      <c r="E25">
        <f t="shared" si="2"/>
        <v>0.25923433497943954</v>
      </c>
      <c r="F25">
        <f t="shared" si="3"/>
        <v>2.1417629974883425E-2</v>
      </c>
      <c r="G25" s="7">
        <f t="shared" si="4"/>
        <v>29742.768416728279</v>
      </c>
      <c r="H25" s="8">
        <f t="shared" si="5"/>
        <v>12.103782504574275</v>
      </c>
      <c r="I25" s="7">
        <f t="shared" si="6"/>
        <v>29742.768416728275</v>
      </c>
      <c r="J25" s="7">
        <f t="shared" si="7"/>
        <v>68914.126951223589</v>
      </c>
      <c r="K25" s="7">
        <f t="shared" si="8"/>
        <v>92378.186261693816</v>
      </c>
      <c r="L25" s="10">
        <f t="shared" si="9"/>
        <v>0.7192148828163597</v>
      </c>
      <c r="M25">
        <f t="shared" si="10"/>
        <v>41835.370519490709</v>
      </c>
      <c r="N25">
        <f t="shared" si="11"/>
        <v>0.40226317807202605</v>
      </c>
      <c r="O25">
        <f t="shared" si="12"/>
        <v>129936.64866794544</v>
      </c>
      <c r="P25" s="7">
        <f t="shared" si="13"/>
        <v>12092.60210276243</v>
      </c>
      <c r="Q25" s="8">
        <f t="shared" si="14"/>
        <v>1.9251013074099348</v>
      </c>
      <c r="R25" s="7">
        <f t="shared" si="15"/>
        <v>37558.462406251623</v>
      </c>
      <c r="S25">
        <f t="shared" si="16"/>
        <v>7.9336881173019913</v>
      </c>
      <c r="T25" s="13">
        <f t="shared" si="17"/>
        <v>2.1417629974883421E-2</v>
      </c>
      <c r="U25" s="13">
        <f t="shared" si="18"/>
        <v>29742.768416728275</v>
      </c>
      <c r="V25" s="14">
        <f t="shared" si="19"/>
        <v>68914.126951223574</v>
      </c>
      <c r="W25" s="14">
        <f t="shared" si="20"/>
        <v>92378.186261693801</v>
      </c>
      <c r="X25" s="14">
        <f t="shared" si="21"/>
        <v>12092.602102762434</v>
      </c>
      <c r="Y25" s="15">
        <f t="shared" si="22"/>
        <v>1.9251013074099352</v>
      </c>
      <c r="Z25" s="14">
        <f t="shared" si="23"/>
        <v>37558.462406251638</v>
      </c>
      <c r="AA25" s="13">
        <f t="shared" si="24"/>
        <v>7.933688117301994</v>
      </c>
      <c r="AC25">
        <f t="shared" si="25"/>
        <v>4593.7735960841956</v>
      </c>
      <c r="AD25">
        <f t="shared" si="26"/>
        <v>5.803402059035891</v>
      </c>
    </row>
    <row r="26" spans="1:30" ht="12" customHeight="1">
      <c r="B26" s="8">
        <f t="shared" si="27"/>
        <v>242.18801792678397</v>
      </c>
      <c r="C26">
        <f t="shared" si="0"/>
        <v>871.87686453642232</v>
      </c>
      <c r="D26">
        <f t="shared" si="1"/>
        <v>26526.18588686399</v>
      </c>
      <c r="E26">
        <f t="shared" si="2"/>
        <v>0.2465488264273481</v>
      </c>
      <c r="F26">
        <f t="shared" si="3"/>
        <v>2.109133360320084E-2</v>
      </c>
      <c r="G26" s="7">
        <f t="shared" si="4"/>
        <v>30796.658849194475</v>
      </c>
      <c r="H26" s="8">
        <f t="shared" si="5"/>
        <v>11.689579761325838</v>
      </c>
      <c r="I26" s="7">
        <f t="shared" si="6"/>
        <v>30796.658849194475</v>
      </c>
      <c r="J26" s="7">
        <f t="shared" si="7"/>
        <v>73168.687119101407</v>
      </c>
      <c r="K26" s="7">
        <f t="shared" si="8"/>
        <v>98081.350025605105</v>
      </c>
      <c r="L26" s="10">
        <f t="shared" si="9"/>
        <v>0.73748545104745367</v>
      </c>
      <c r="M26">
        <f t="shared" si="10"/>
        <v>41717.525349403513</v>
      </c>
      <c r="N26">
        <f t="shared" si="11"/>
        <v>0.40113005143657227</v>
      </c>
      <c r="O26">
        <f t="shared" si="12"/>
        <v>132862.17917447636</v>
      </c>
      <c r="P26" s="7">
        <f t="shared" si="13"/>
        <v>10920.866500209038</v>
      </c>
      <c r="Q26" s="8">
        <f t="shared" si="14"/>
        <v>1.7385046327241442</v>
      </c>
      <c r="R26" s="7">
        <f t="shared" si="15"/>
        <v>34780.829148871257</v>
      </c>
      <c r="S26">
        <f t="shared" si="16"/>
        <v>7.3469528103573323</v>
      </c>
      <c r="T26" s="13">
        <f t="shared" si="17"/>
        <v>2.1091333603200837E-2</v>
      </c>
      <c r="U26" s="13">
        <f t="shared" si="18"/>
        <v>30796.658849194475</v>
      </c>
      <c r="V26" s="14">
        <f t="shared" si="19"/>
        <v>73168.687119101407</v>
      </c>
      <c r="W26" s="14">
        <f t="shared" si="20"/>
        <v>98081.350025605105</v>
      </c>
      <c r="X26" s="14">
        <f t="shared" si="21"/>
        <v>10920.866500209038</v>
      </c>
      <c r="Y26" s="15">
        <f t="shared" si="22"/>
        <v>1.7385046327241442</v>
      </c>
      <c r="Z26" s="14">
        <f t="shared" si="23"/>
        <v>34780.829148871257</v>
      </c>
      <c r="AA26" s="13">
        <f t="shared" si="24"/>
        <v>7.3469528103573323</v>
      </c>
      <c r="AC26">
        <f t="shared" si="25"/>
        <v>4549.2747446654193</v>
      </c>
      <c r="AD26">
        <f t="shared" si="26"/>
        <v>5.6048042197143522</v>
      </c>
    </row>
    <row r="27" spans="1:30" ht="12" customHeight="1">
      <c r="B27" s="8">
        <f t="shared" si="27"/>
        <v>248.18801792678397</v>
      </c>
      <c r="C27">
        <f t="shared" si="0"/>
        <v>893.47686453642234</v>
      </c>
      <c r="D27">
        <f t="shared" si="1"/>
        <v>27856.793462533369</v>
      </c>
      <c r="E27">
        <f t="shared" si="2"/>
        <v>0.23477217536886014</v>
      </c>
      <c r="F27">
        <f t="shared" si="3"/>
        <v>2.0803065484001675E-2</v>
      </c>
      <c r="G27" s="7">
        <f t="shared" si="4"/>
        <v>31899.451297727963</v>
      </c>
      <c r="H27" s="8">
        <f t="shared" si="5"/>
        <v>11.285460575481466</v>
      </c>
      <c r="I27" s="7">
        <f t="shared" si="6"/>
        <v>31899.451297727963</v>
      </c>
      <c r="J27" s="7">
        <f t="shared" si="7"/>
        <v>77666.374203149142</v>
      </c>
      <c r="K27" s="7">
        <f t="shared" si="8"/>
        <v>104110.42118384603</v>
      </c>
      <c r="L27" s="10">
        <f t="shared" si="9"/>
        <v>0.75575601927854763</v>
      </c>
      <c r="M27">
        <f t="shared" si="10"/>
        <v>41626.009264684755</v>
      </c>
      <c r="N27">
        <f t="shared" si="11"/>
        <v>0.40025008908350729</v>
      </c>
      <c r="O27">
        <f t="shared" si="12"/>
        <v>135855.04390972626</v>
      </c>
      <c r="P27" s="7">
        <f t="shared" si="13"/>
        <v>9726.5579669567924</v>
      </c>
      <c r="Q27" s="8">
        <f t="shared" si="14"/>
        <v>1.5483322250156564</v>
      </c>
      <c r="R27" s="7">
        <f t="shared" si="15"/>
        <v>31744.622725880225</v>
      </c>
      <c r="S27">
        <f t="shared" si="16"/>
        <v>6.7055976196360421</v>
      </c>
      <c r="T27" s="13">
        <f t="shared" si="17"/>
        <v>2.0803065484001671E-2</v>
      </c>
      <c r="U27" s="13">
        <f t="shared" si="18"/>
        <v>31899.451297727963</v>
      </c>
      <c r="V27" s="14">
        <f t="shared" si="19"/>
        <v>77666.374203149142</v>
      </c>
      <c r="W27" s="14">
        <f t="shared" si="20"/>
        <v>104110.42118384603</v>
      </c>
      <c r="X27" s="14">
        <f t="shared" si="21"/>
        <v>9726.5579669567924</v>
      </c>
      <c r="Y27" s="15">
        <f t="shared" si="22"/>
        <v>1.5483322250156564</v>
      </c>
      <c r="Z27" s="14">
        <f t="shared" si="23"/>
        <v>31744.622725880225</v>
      </c>
      <c r="AA27" s="13">
        <f t="shared" si="24"/>
        <v>6.7055976196360421</v>
      </c>
      <c r="AC27">
        <f t="shared" si="25"/>
        <v>4500.8103455512146</v>
      </c>
      <c r="AD27">
        <f t="shared" si="26"/>
        <v>5.4110411448789604</v>
      </c>
    </row>
    <row r="28" spans="1:30" ht="12" customHeight="1">
      <c r="B28" s="8">
        <f t="shared" si="27"/>
        <v>254.18801792678397</v>
      </c>
      <c r="C28">
        <f t="shared" si="0"/>
        <v>915.07686453642236</v>
      </c>
      <c r="D28">
        <f t="shared" si="1"/>
        <v>29219.96235796675</v>
      </c>
      <c r="E28">
        <f t="shared" si="2"/>
        <v>0.22381959017879721</v>
      </c>
      <c r="F28">
        <f t="shared" si="3"/>
        <v>2.054762902354287E-2</v>
      </c>
      <c r="G28" s="7">
        <f t="shared" si="4"/>
        <v>33049.59339156263</v>
      </c>
      <c r="H28" s="8">
        <f t="shared" si="5"/>
        <v>10.892721000673669</v>
      </c>
      <c r="I28" s="7">
        <f t="shared" si="6"/>
        <v>33049.59339156263</v>
      </c>
      <c r="J28" s="7">
        <f t="shared" si="7"/>
        <v>82411.952353751825</v>
      </c>
      <c r="K28" s="7">
        <f t="shared" si="8"/>
        <v>110471.78599698636</v>
      </c>
      <c r="L28" s="10">
        <f t="shared" si="9"/>
        <v>0.77402658750964171</v>
      </c>
      <c r="M28">
        <f t="shared" si="10"/>
        <v>41560.822265334391</v>
      </c>
      <c r="N28">
        <f t="shared" si="11"/>
        <v>0.39962329101283067</v>
      </c>
      <c r="O28">
        <f t="shared" si="12"/>
        <v>138921.47503173028</v>
      </c>
      <c r="P28" s="7">
        <f t="shared" si="13"/>
        <v>8511.2288737717608</v>
      </c>
      <c r="Q28" s="8">
        <f t="shared" si="14"/>
        <v>1.3548301647013703</v>
      </c>
      <c r="R28" s="7">
        <f t="shared" si="15"/>
        <v>28449.689034743918</v>
      </c>
      <c r="S28">
        <f t="shared" si="16"/>
        <v>6.0095899931812671</v>
      </c>
      <c r="T28" s="13">
        <f t="shared" si="17"/>
        <v>2.054762902354287E-2</v>
      </c>
      <c r="U28" s="13">
        <f t="shared" si="18"/>
        <v>33049.59339156263</v>
      </c>
      <c r="V28" s="14">
        <f t="shared" si="19"/>
        <v>82411.952353751825</v>
      </c>
      <c r="W28" s="14">
        <f t="shared" si="20"/>
        <v>110471.78599698636</v>
      </c>
      <c r="X28" s="14">
        <f t="shared" si="21"/>
        <v>8511.2288737717608</v>
      </c>
      <c r="Y28" s="15">
        <f t="shared" si="22"/>
        <v>1.3548301647013703</v>
      </c>
      <c r="Z28" s="14">
        <f t="shared" si="23"/>
        <v>28449.689034743918</v>
      </c>
      <c r="AA28" s="13">
        <f t="shared" si="24"/>
        <v>6.0095899931812671</v>
      </c>
      <c r="AC28">
        <f t="shared" si="25"/>
        <v>4449.2014401382803</v>
      </c>
      <c r="AD28">
        <f t="shared" si="26"/>
        <v>5.222734253521395</v>
      </c>
    </row>
    <row r="29" spans="1:30" ht="12" customHeight="1">
      <c r="B29" s="8">
        <f t="shared" si="27"/>
        <v>260.18801792678397</v>
      </c>
      <c r="C29">
        <f t="shared" si="0"/>
        <v>936.67686453642227</v>
      </c>
      <c r="D29">
        <f t="shared" si="1"/>
        <v>30615.692573164139</v>
      </c>
      <c r="E29">
        <f t="shared" si="2"/>
        <v>0.21361594170607029</v>
      </c>
      <c r="F29">
        <f t="shared" si="3"/>
        <v>2.0320637551835132E-2</v>
      </c>
      <c r="G29" s="7">
        <f t="shared" si="4"/>
        <v>34245.709661156645</v>
      </c>
      <c r="H29" s="8">
        <f t="shared" si="5"/>
        <v>10.512265727941143</v>
      </c>
      <c r="I29" s="7">
        <f t="shared" si="6"/>
        <v>34245.709661156652</v>
      </c>
      <c r="J29" s="7">
        <f t="shared" si="7"/>
        <v>87410.271761670476</v>
      </c>
      <c r="K29" s="7">
        <f t="shared" si="8"/>
        <v>117171.94606122047</v>
      </c>
      <c r="L29" s="10">
        <f t="shared" si="9"/>
        <v>0.79229715574073567</v>
      </c>
      <c r="M29">
        <f t="shared" si="10"/>
        <v>41521.96435135245</v>
      </c>
      <c r="N29">
        <f t="shared" si="11"/>
        <v>0.39924965722454281</v>
      </c>
      <c r="O29">
        <f t="shared" si="12"/>
        <v>142067.70469852388</v>
      </c>
      <c r="P29" s="7">
        <f t="shared" si="13"/>
        <v>7276.2546901958049</v>
      </c>
      <c r="Q29" s="8">
        <f t="shared" si="14"/>
        <v>1.1582160725960999</v>
      </c>
      <c r="R29" s="7">
        <f t="shared" si="15"/>
        <v>24895.758637303414</v>
      </c>
      <c r="S29">
        <f t="shared" si="16"/>
        <v>5.2588730160347561</v>
      </c>
      <c r="T29" s="13">
        <f t="shared" si="17"/>
        <v>2.0320637551835136E-2</v>
      </c>
      <c r="U29" s="13">
        <f t="shared" si="18"/>
        <v>34245.709661156652</v>
      </c>
      <c r="V29" s="14">
        <f t="shared" si="19"/>
        <v>87410.271761670505</v>
      </c>
      <c r="W29" s="14">
        <f t="shared" si="20"/>
        <v>117171.94606122051</v>
      </c>
      <c r="X29" s="14">
        <f t="shared" si="21"/>
        <v>7276.2546901957976</v>
      </c>
      <c r="Y29" s="15">
        <f t="shared" si="22"/>
        <v>1.158216072596099</v>
      </c>
      <c r="Z29" s="14">
        <f t="shared" si="23"/>
        <v>24895.75863730337</v>
      </c>
      <c r="AA29" s="13">
        <f t="shared" si="24"/>
        <v>5.2588730160347481</v>
      </c>
      <c r="AC29">
        <f t="shared" si="25"/>
        <v>4395.1554252634305</v>
      </c>
      <c r="AD29">
        <f t="shared" si="26"/>
        <v>5.0403173179632272</v>
      </c>
    </row>
    <row r="30" spans="1:30" ht="12" customHeight="1" thickBot="1">
      <c r="B30" s="8">
        <f t="shared" si="27"/>
        <v>266.18801792678397</v>
      </c>
      <c r="C30">
        <f t="shared" si="0"/>
        <v>958.27686453642229</v>
      </c>
      <c r="D30">
        <f t="shared" si="1"/>
        <v>32043.984108125525</v>
      </c>
      <c r="E30">
        <f t="shared" si="2"/>
        <v>0.20409447145935966</v>
      </c>
      <c r="F30">
        <f t="shared" si="3"/>
        <v>2.011837321629123E-2</v>
      </c>
      <c r="G30" s="7">
        <f t="shared" si="4"/>
        <v>35486.577887569227</v>
      </c>
      <c r="H30" s="8">
        <f t="shared" si="5"/>
        <v>10.144680649133715</v>
      </c>
      <c r="I30" s="7">
        <f t="shared" si="6"/>
        <v>35486.577887569234</v>
      </c>
      <c r="J30" s="7">
        <f t="shared" si="7"/>
        <v>92666.258961094587</v>
      </c>
      <c r="K30" s="7">
        <f t="shared" si="8"/>
        <v>124217.50530977827</v>
      </c>
      <c r="L30" s="10">
        <f t="shared" si="9"/>
        <v>0.81056772397182963</v>
      </c>
      <c r="M30">
        <f t="shared" si="10"/>
        <v>41509.435522738917</v>
      </c>
      <c r="N30">
        <f t="shared" si="11"/>
        <v>0.39912918771864342</v>
      </c>
      <c r="O30">
        <f t="shared" si="12"/>
        <v>145299.96506814234</v>
      </c>
      <c r="P30" s="7">
        <f t="shared" si="13"/>
        <v>6022.8576351696902</v>
      </c>
      <c r="Q30" s="8">
        <f t="shared" si="14"/>
        <v>0.95868289942377449</v>
      </c>
      <c r="R30" s="7">
        <f>$O30-$K30</f>
        <v>21082.459758364072</v>
      </c>
      <c r="S30">
        <f t="shared" si="16"/>
        <v>4.4533681560028304</v>
      </c>
      <c r="T30" s="13">
        <f t="shared" si="17"/>
        <v>2.011837321629123E-2</v>
      </c>
      <c r="U30" s="13">
        <f t="shared" si="18"/>
        <v>35486.577887569234</v>
      </c>
      <c r="V30" s="14">
        <f t="shared" si="19"/>
        <v>92666.258961094616</v>
      </c>
      <c r="W30" s="14">
        <f t="shared" si="20"/>
        <v>124217.50530977831</v>
      </c>
      <c r="X30" s="14">
        <f t="shared" si="21"/>
        <v>6022.8576351696829</v>
      </c>
      <c r="Y30" s="15">
        <f t="shared" si="22"/>
        <v>0.95868289942377327</v>
      </c>
      <c r="Z30" s="14">
        <f t="shared" si="23"/>
        <v>21082.459758364028</v>
      </c>
      <c r="AA30" s="13">
        <f t="shared" si="24"/>
        <v>4.4533681560028215</v>
      </c>
      <c r="AC30">
        <f t="shared" si="25"/>
        <v>4339.2782249277816</v>
      </c>
      <c r="AD30">
        <f t="shared" si="26"/>
        <v>4.8640712558404413</v>
      </c>
    </row>
    <row r="31" spans="1:30" s="6" customFormat="1" ht="13.5" thickBot="1">
      <c r="A31" s="5"/>
      <c r="B31" s="6" t="s">
        <v>31</v>
      </c>
      <c r="D31" s="6" t="s">
        <v>32</v>
      </c>
      <c r="G31" s="6" t="s">
        <v>33</v>
      </c>
      <c r="J31" s="6" t="s">
        <v>34</v>
      </c>
      <c r="O31" s="6" t="s">
        <v>35</v>
      </c>
    </row>
    <row r="32" spans="1:30" s="1" customFormat="1" ht="23.85" customHeight="1">
      <c r="A32" s="1" t="s">
        <v>3</v>
      </c>
      <c r="B32" s="1" t="s">
        <v>4</v>
      </c>
      <c r="D32" s="1" t="s">
        <v>8</v>
      </c>
      <c r="E32" s="1" t="s">
        <v>96</v>
      </c>
      <c r="G32" s="1" t="s">
        <v>71</v>
      </c>
      <c r="J32" s="1" t="s">
        <v>13</v>
      </c>
      <c r="K32" s="1" t="s">
        <v>14</v>
      </c>
      <c r="L32" s="1" t="s">
        <v>15</v>
      </c>
      <c r="M32" s="11" t="str">
        <f>SL!M32</f>
        <v>MDD</v>
      </c>
      <c r="N32" s="11"/>
      <c r="O32" s="1" t="s">
        <v>58</v>
      </c>
      <c r="P32" s="1" t="s">
        <v>16</v>
      </c>
      <c r="Q32" s="1" t="s">
        <v>70</v>
      </c>
      <c r="R32" s="1" t="s">
        <v>60</v>
      </c>
      <c r="S32" s="1" t="s">
        <v>94</v>
      </c>
    </row>
    <row r="33" spans="1:20">
      <c r="A33">
        <f>SL!A33</f>
        <v>540</v>
      </c>
      <c r="B33">
        <f>SL!B33</f>
        <v>65</v>
      </c>
      <c r="D33">
        <f>SL!D33</f>
        <v>360000</v>
      </c>
      <c r="E33">
        <f>SL!$E$33</f>
        <v>90000</v>
      </c>
      <c r="G33">
        <v>10000</v>
      </c>
      <c r="J33">
        <f>SL!J33</f>
        <v>1.7999999999999999E-2</v>
      </c>
      <c r="K33">
        <f>SL!K33</f>
        <v>0.8</v>
      </c>
      <c r="L33">
        <f>SL!L33</f>
        <v>1.5</v>
      </c>
      <c r="M33">
        <f>SL!M33</f>
        <v>0.83</v>
      </c>
      <c r="O33">
        <f>SL!O33</f>
        <v>26000</v>
      </c>
      <c r="P33">
        <f>SL!P33</f>
        <v>4</v>
      </c>
      <c r="Q33">
        <f>SL!Q33</f>
        <v>1</v>
      </c>
      <c r="R33">
        <f>SL!R33</f>
        <v>0.8</v>
      </c>
      <c r="S33">
        <f>SL!$S$33</f>
        <v>0.6</v>
      </c>
    </row>
    <row r="34" spans="1:20" s="3" customFormat="1" ht="20.85" customHeight="1">
      <c r="A34" s="3" t="s">
        <v>5</v>
      </c>
      <c r="D34" s="3" t="s">
        <v>9</v>
      </c>
      <c r="E34" s="3" t="s">
        <v>10</v>
      </c>
      <c r="F34" s="3" t="s">
        <v>72</v>
      </c>
      <c r="G34" s="3" t="s">
        <v>6</v>
      </c>
      <c r="H34" s="3" t="s">
        <v>7</v>
      </c>
      <c r="J34" s="3" t="s">
        <v>30</v>
      </c>
      <c r="O34" s="3" t="s">
        <v>59</v>
      </c>
      <c r="Q34" s="3" t="s">
        <v>61</v>
      </c>
      <c r="R34" s="3" t="s">
        <v>62</v>
      </c>
      <c r="T34" s="3" t="s">
        <v>103</v>
      </c>
    </row>
    <row r="35" spans="1:20">
      <c r="A35">
        <f>B33^2/A33</f>
        <v>7.8240740740740744</v>
      </c>
      <c r="D35">
        <f>D33/A33</f>
        <v>666.66666666666663</v>
      </c>
      <c r="E35">
        <f>D35*9.81</f>
        <v>6540</v>
      </c>
      <c r="F35">
        <f>$G$33*0.3048</f>
        <v>3048</v>
      </c>
      <c r="G35">
        <f>288-6.5*$F$35/1000</f>
        <v>268.18799999999999</v>
      </c>
      <c r="H35">
        <f>G35/288</f>
        <v>0.9312083333333333</v>
      </c>
      <c r="J35">
        <f>1/(3.1415*$A$35*$K$33)</f>
        <v>5.0855742037073826E-2</v>
      </c>
      <c r="O35">
        <f>$O$33*$P$33</f>
        <v>104000</v>
      </c>
      <c r="Q35">
        <f>$O$35*$Q$33</f>
        <v>104000</v>
      </c>
      <c r="R35">
        <f>$Q$35*$R$33</f>
        <v>83200</v>
      </c>
      <c r="T35">
        <f>R35*G37</f>
        <v>61430.879917576036</v>
      </c>
    </row>
    <row r="36" spans="1:20" s="3" customFormat="1" ht="20.85" customHeight="1">
      <c r="G36" s="3" t="s">
        <v>11</v>
      </c>
      <c r="H36" s="3" t="s">
        <v>12</v>
      </c>
      <c r="J36" s="3" t="s">
        <v>63</v>
      </c>
      <c r="M36" s="3" t="s">
        <v>86</v>
      </c>
    </row>
    <row r="37" spans="1:20">
      <c r="G37">
        <f>$H$35^4.256</f>
        <v>0.73835192208625045</v>
      </c>
      <c r="H37">
        <f>1.225*$G$37</f>
        <v>0.90448110455565689</v>
      </c>
      <c r="J37">
        <f>340.3*(1-2.255*0.00001*$F$35)^0.5</f>
        <v>328.39701119907289</v>
      </c>
      <c r="M37">
        <f>P57</f>
        <v>36854.23730265459</v>
      </c>
    </row>
    <row r="38" spans="1:20" s="4" customFormat="1" ht="20.100000000000001" customHeight="1"/>
    <row r="39" spans="1:20">
      <c r="A39" t="s">
        <v>21</v>
      </c>
      <c r="B39">
        <f>SQRT(3.1415*$A$35*$K$33/(4*$J$33))</f>
        <v>16.525848004364995</v>
      </c>
      <c r="C39" t="s">
        <v>18</v>
      </c>
      <c r="D39">
        <f>$L$33</f>
        <v>1.5</v>
      </c>
      <c r="E39" t="s">
        <v>22</v>
      </c>
      <c r="F39">
        <f>3.6*SQRT((2/$H$37)*($E$35)*(1/$D39))</f>
        <v>353.47686453642228</v>
      </c>
      <c r="H39" t="s">
        <v>36</v>
      </c>
      <c r="I39">
        <f>$J$33+$J$35*$D39^2</f>
        <v>0.13242541958341611</v>
      </c>
      <c r="K39" t="s">
        <v>26</v>
      </c>
      <c r="L39">
        <f>$D39/$I39</f>
        <v>11.327130430990517</v>
      </c>
      <c r="M39" t="s">
        <v>40</v>
      </c>
      <c r="O39">
        <f>$D$33/$L39</f>
        <v>31782.100700019862</v>
      </c>
      <c r="Q39" t="s">
        <v>46</v>
      </c>
      <c r="R39">
        <f>($O39*$F39*9.81/3.6)/746</f>
        <v>41036.590687560325</v>
      </c>
    </row>
    <row r="40" spans="1:20">
      <c r="C40" t="s">
        <v>17</v>
      </c>
      <c r="D40">
        <f>$D$41*SQRT(3)</f>
        <v>1.0304499017419528</v>
      </c>
      <c r="E40" t="s">
        <v>23</v>
      </c>
      <c r="F40">
        <f>3.6*SQRT((2/$H$37)*($E$35)*(1/$D40))</f>
        <v>426.47461168871979</v>
      </c>
      <c r="H40" t="s">
        <v>37</v>
      </c>
      <c r="I40">
        <f>$J$33+$J$35*$D40^2</f>
        <v>7.2000000000000008E-2</v>
      </c>
      <c r="K40" t="s">
        <v>27</v>
      </c>
      <c r="L40">
        <f>$D40/$I40</f>
        <v>14.311804190860455</v>
      </c>
      <c r="M40" t="s">
        <v>41</v>
      </c>
      <c r="O40">
        <f>$D$33/$L40</f>
        <v>25154.061304856077</v>
      </c>
      <c r="Q40" t="s">
        <v>47</v>
      </c>
      <c r="R40">
        <f>($O40*$F40*9.81/3.6)/746</f>
        <v>39185.823374152802</v>
      </c>
    </row>
    <row r="41" spans="1:20">
      <c r="C41" t="s">
        <v>20</v>
      </c>
      <c r="D41">
        <f>SQRT(3.1415*$A$35*$K$33*$J$33)</f>
        <v>0.59493052815713987</v>
      </c>
      <c r="E41" t="s">
        <v>24</v>
      </c>
      <c r="F41">
        <f>3.6*SQRT((2/$H$37)*($E$35)*(1/$D41))</f>
        <v>561.27215362752941</v>
      </c>
      <c r="H41" t="s">
        <v>39</v>
      </c>
      <c r="I41">
        <f>$J$33+$J$35*$D41^2</f>
        <v>3.6000000000000004E-2</v>
      </c>
      <c r="K41" t="s">
        <v>28</v>
      </c>
      <c r="L41">
        <f>$D41/$I41</f>
        <v>16.525848004364995</v>
      </c>
      <c r="M41" t="s">
        <v>42</v>
      </c>
      <c r="O41">
        <f>$D$33/$L41</f>
        <v>21784.056098356508</v>
      </c>
      <c r="Q41" t="s">
        <v>44</v>
      </c>
      <c r="R41">
        <f>($O41*$F41*9.81/3.6)/746</f>
        <v>44662.180456982394</v>
      </c>
    </row>
    <row r="42" spans="1:20">
      <c r="C42" t="s">
        <v>19</v>
      </c>
      <c r="D42">
        <f>$D$41/SQRT(3)</f>
        <v>0.34348330058065096</v>
      </c>
      <c r="E42" t="s">
        <v>25</v>
      </c>
      <c r="F42">
        <f>3.6*SQRT((2/$H$37)*($E$35)*(1/$D42))</f>
        <v>738.67569558307036</v>
      </c>
      <c r="H42" t="s">
        <v>38</v>
      </c>
      <c r="I42">
        <f>$J$33+$J$35*$D42^2</f>
        <v>2.4E-2</v>
      </c>
      <c r="K42" t="s">
        <v>29</v>
      </c>
      <c r="L42">
        <f>$D42/$I42</f>
        <v>14.311804190860457</v>
      </c>
      <c r="M42" t="s">
        <v>43</v>
      </c>
      <c r="O42">
        <f>$D$33/$L42</f>
        <v>25154.061304856074</v>
      </c>
      <c r="Q42" t="s">
        <v>45</v>
      </c>
      <c r="R42">
        <f>($O42*$F42*9.81/3.6)/746</f>
        <v>67871.837020452731</v>
      </c>
    </row>
    <row r="44" spans="1:20">
      <c r="A44" t="s">
        <v>54</v>
      </c>
      <c r="B44" t="s">
        <v>49</v>
      </c>
      <c r="C44" t="s">
        <v>50</v>
      </c>
      <c r="E44" t="s">
        <v>50</v>
      </c>
    </row>
    <row r="45" spans="1:20">
      <c r="A45">
        <v>0.1</v>
      </c>
      <c r="B45">
        <v>0</v>
      </c>
      <c r="C45">
        <f>$J$33+$J$35*$B45^2</f>
        <v>1.7999999999999999E-2</v>
      </c>
      <c r="E45">
        <f>$J$33+$J$35*$B45^2</f>
        <v>1.7999999999999999E-2</v>
      </c>
    </row>
    <row r="46" spans="1:20">
      <c r="B46">
        <f>B45+$A$45</f>
        <v>0.1</v>
      </c>
      <c r="C46">
        <f t="shared" ref="C46:E63" si="28">$J$33+$J$35*$B46^2</f>
        <v>1.8508557420370737E-2</v>
      </c>
      <c r="E46">
        <f t="shared" si="28"/>
        <v>1.8508557420370737E-2</v>
      </c>
      <c r="H46" s="9"/>
    </row>
    <row r="47" spans="1:20">
      <c r="B47">
        <f t="shared" ref="B47:B63" si="29">B46+$A$45</f>
        <v>0.2</v>
      </c>
      <c r="C47">
        <f t="shared" si="28"/>
        <v>2.0034229681482951E-2</v>
      </c>
      <c r="E47">
        <f t="shared" si="28"/>
        <v>2.0034229681482951E-2</v>
      </c>
      <c r="H47" s="9"/>
      <c r="J47" t="s">
        <v>74</v>
      </c>
      <c r="K47">
        <f>$R$35/$D$33</f>
        <v>0.2311111111111111</v>
      </c>
    </row>
    <row r="48" spans="1:20">
      <c r="B48">
        <f t="shared" si="29"/>
        <v>0.30000000000000004</v>
      </c>
      <c r="C48">
        <f t="shared" si="28"/>
        <v>2.2577016783336644E-2</v>
      </c>
      <c r="E48">
        <f t="shared" si="28"/>
        <v>2.2577016783336644E-2</v>
      </c>
      <c r="H48" s="9"/>
      <c r="J48" t="s">
        <v>75</v>
      </c>
      <c r="K48">
        <f>(1+SQRT(1-1/(($K$47^2)*($B$39^2))))</f>
        <v>1.9651146612052111</v>
      </c>
    </row>
    <row r="49" spans="2:17">
      <c r="B49">
        <f t="shared" si="29"/>
        <v>0.4</v>
      </c>
      <c r="C49">
        <f t="shared" si="28"/>
        <v>2.613691872593181E-2</v>
      </c>
      <c r="E49">
        <f t="shared" si="28"/>
        <v>2.613691872593181E-2</v>
      </c>
      <c r="H49" s="9"/>
      <c r="J49" t="s">
        <v>76</v>
      </c>
      <c r="K49">
        <f>SQRT(($K$47*$E$35)*$K$48/($H$37*$J$33))</f>
        <v>427.12720424217753</v>
      </c>
      <c r="L49" t="s">
        <v>77</v>
      </c>
      <c r="O49" t="s">
        <v>78</v>
      </c>
      <c r="P49">
        <f>$K$49*3.6</f>
        <v>1537.6579352718391</v>
      </c>
    </row>
    <row r="50" spans="2:17">
      <c r="B50">
        <f t="shared" si="29"/>
        <v>0.5</v>
      </c>
      <c r="C50">
        <f t="shared" si="28"/>
        <v>3.0713935509268455E-2</v>
      </c>
      <c r="E50">
        <f t="shared" si="28"/>
        <v>3.0713935509268455E-2</v>
      </c>
      <c r="H50" s="9"/>
    </row>
    <row r="51" spans="2:17">
      <c r="B51">
        <f t="shared" si="29"/>
        <v>0.6</v>
      </c>
      <c r="C51">
        <f t="shared" si="28"/>
        <v>3.6308067133346576E-2</v>
      </c>
      <c r="E51">
        <f t="shared" si="28"/>
        <v>3.6308067133346576E-2</v>
      </c>
      <c r="O51" t="s">
        <v>79</v>
      </c>
      <c r="P51">
        <f>$K$49/$J$37</f>
        <v>1.3006427880771876</v>
      </c>
    </row>
    <row r="52" spans="2:17">
      <c r="B52">
        <f t="shared" si="29"/>
        <v>0.7</v>
      </c>
      <c r="C52">
        <f t="shared" si="28"/>
        <v>4.291931359816617E-2</v>
      </c>
      <c r="E52">
        <f t="shared" si="28"/>
        <v>4.291931359816617E-2</v>
      </c>
    </row>
    <row r="53" spans="2:17">
      <c r="B53">
        <f t="shared" si="29"/>
        <v>0.79999999999999993</v>
      </c>
      <c r="C53">
        <f t="shared" si="28"/>
        <v>5.0547674903727247E-2</v>
      </c>
      <c r="E53">
        <f t="shared" si="28"/>
        <v>5.0547674903727247E-2</v>
      </c>
      <c r="J53" t="s">
        <v>80</v>
      </c>
      <c r="K53">
        <f>$M$33*$J$37</f>
        <v>272.56951929523046</v>
      </c>
      <c r="L53" t="s">
        <v>77</v>
      </c>
      <c r="O53" t="s">
        <v>80</v>
      </c>
      <c r="P53">
        <f>$K$53*3.6</f>
        <v>981.25026946282969</v>
      </c>
      <c r="Q53" t="s">
        <v>81</v>
      </c>
    </row>
    <row r="54" spans="2:17">
      <c r="B54">
        <f t="shared" si="29"/>
        <v>0.89999999999999991</v>
      </c>
      <c r="C54">
        <f t="shared" si="28"/>
        <v>5.9193151050029785E-2</v>
      </c>
      <c r="E54">
        <f t="shared" si="28"/>
        <v>5.9193151050029785E-2</v>
      </c>
      <c r="J54" t="s">
        <v>82</v>
      </c>
      <c r="K54">
        <f>0.5*$H$37*($K$53)^2</f>
        <v>33598.824192964123</v>
      </c>
      <c r="L54" t="s">
        <v>83</v>
      </c>
    </row>
    <row r="55" spans="2:17">
      <c r="B55">
        <f t="shared" si="29"/>
        <v>0.99999999999999989</v>
      </c>
      <c r="C55">
        <f t="shared" si="28"/>
        <v>6.8855742037073814E-2</v>
      </c>
      <c r="E55">
        <f t="shared" si="28"/>
        <v>6.8855742037073814E-2</v>
      </c>
      <c r="J55" t="s">
        <v>84</v>
      </c>
      <c r="K55">
        <f>(D33*9.81)/(K54*A33)</f>
        <v>0.19464966876339476</v>
      </c>
    </row>
    <row r="56" spans="2:17">
      <c r="B56">
        <f t="shared" si="29"/>
        <v>1.0999999999999999</v>
      </c>
      <c r="C56">
        <f t="shared" si="28"/>
        <v>7.9535447864859318E-2</v>
      </c>
      <c r="E56">
        <f t="shared" si="28"/>
        <v>7.9535447864859318E-2</v>
      </c>
      <c r="J56" t="s">
        <v>85</v>
      </c>
      <c r="K56">
        <f>J33+J35*(K55)^2</f>
        <v>1.992684745413684E-2</v>
      </c>
    </row>
    <row r="57" spans="2:17">
      <c r="B57">
        <f t="shared" si="29"/>
        <v>1.2</v>
      </c>
      <c r="C57">
        <f t="shared" si="28"/>
        <v>9.1232268533386313E-2</v>
      </c>
      <c r="E57">
        <f t="shared" si="28"/>
        <v>9.1232268533386313E-2</v>
      </c>
      <c r="J57" t="s">
        <v>86</v>
      </c>
      <c r="K57">
        <f>K54*A33*K56</f>
        <v>361540.06793904153</v>
      </c>
      <c r="L57" t="s">
        <v>87</v>
      </c>
      <c r="O57" t="s">
        <v>86</v>
      </c>
      <c r="P57">
        <f>K57/9.81</f>
        <v>36854.23730265459</v>
      </c>
      <c r="Q57" t="s">
        <v>88</v>
      </c>
    </row>
    <row r="58" spans="2:17">
      <c r="B58">
        <f t="shared" si="29"/>
        <v>1.3</v>
      </c>
      <c r="C58">
        <f t="shared" si="28"/>
        <v>0.10394620404265477</v>
      </c>
      <c r="E58">
        <f t="shared" si="28"/>
        <v>0.10394620404265477</v>
      </c>
    </row>
    <row r="59" spans="2:17">
      <c r="B59">
        <f>B58+$A$45</f>
        <v>1.4000000000000001</v>
      </c>
      <c r="C59">
        <f t="shared" si="28"/>
        <v>0.11767725439266472</v>
      </c>
      <c r="E59">
        <f t="shared" si="28"/>
        <v>0.11767725439266472</v>
      </c>
      <c r="J59" t="s">
        <v>89</v>
      </c>
      <c r="K59">
        <f>($R$35-$P$57)/(14*$P$57)</f>
        <v>8.9824450688076263E-2</v>
      </c>
    </row>
    <row r="60" spans="2:17">
      <c r="B60">
        <f t="shared" si="29"/>
        <v>1.5000000000000002</v>
      </c>
      <c r="C60">
        <f t="shared" si="28"/>
        <v>0.13242541958341614</v>
      </c>
      <c r="E60">
        <f t="shared" si="28"/>
        <v>0.13242541958341614</v>
      </c>
      <c r="J60" t="s">
        <v>90</v>
      </c>
      <c r="K60">
        <f>M33+K59</f>
        <v>0.91982445068807617</v>
      </c>
    </row>
    <row r="61" spans="2:17">
      <c r="B61">
        <f t="shared" si="29"/>
        <v>1.6000000000000003</v>
      </c>
      <c r="C61">
        <f t="shared" si="28"/>
        <v>0.14819069961490902</v>
      </c>
      <c r="E61">
        <f t="shared" si="28"/>
        <v>0.14819069961490902</v>
      </c>
    </row>
    <row r="62" spans="2:17">
      <c r="B62">
        <f t="shared" si="29"/>
        <v>1.7000000000000004</v>
      </c>
      <c r="C62">
        <f t="shared" si="28"/>
        <v>0.16497309448714342</v>
      </c>
      <c r="E62">
        <f t="shared" si="28"/>
        <v>0.16497309448714342</v>
      </c>
    </row>
    <row r="63" spans="2:17">
      <c r="B63">
        <f t="shared" si="29"/>
        <v>1.8000000000000005</v>
      </c>
      <c r="C63">
        <f t="shared" si="28"/>
        <v>0.18277260420011926</v>
      </c>
      <c r="E63">
        <f t="shared" si="28"/>
        <v>0.18277260420011926</v>
      </c>
    </row>
  </sheetData>
  <phoneticPr fontId="0" type="noConversion"/>
  <pageMargins left="0.75" right="0.75" top="1" bottom="1" header="0.5" footer="0.5"/>
  <pageSetup paperSize="9" orientation="portrait" horizont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D63"/>
  <sheetViews>
    <sheetView zoomScale="75" workbookViewId="0">
      <selection activeCell="T34" sqref="T34:T35"/>
    </sheetView>
  </sheetViews>
  <sheetFormatPr defaultRowHeight="12.75"/>
  <cols>
    <col min="1" max="1" width="6.7109375" customWidth="1"/>
    <col min="2" max="2" width="7.5703125" customWidth="1"/>
    <col min="3" max="3" width="8.7109375" customWidth="1"/>
    <col min="4" max="4" width="9.85546875" customWidth="1"/>
    <col min="6" max="6" width="7.5703125" customWidth="1"/>
    <col min="7" max="7" width="7.85546875" customWidth="1"/>
    <col min="8" max="8" width="6.28515625" customWidth="1"/>
    <col min="9" max="9" width="8.85546875" customWidth="1"/>
    <col min="10" max="10" width="7.42578125" customWidth="1"/>
    <col min="11" max="11" width="7.5703125" customWidth="1"/>
    <col min="12" max="12" width="6.28515625" customWidth="1"/>
    <col min="13" max="14" width="6.85546875" customWidth="1"/>
    <col min="15" max="15" width="7.5703125" customWidth="1"/>
    <col min="16" max="16" width="9.42578125" customWidth="1"/>
    <col min="17" max="17" width="7" customWidth="1"/>
    <col min="18" max="18" width="7.5703125" customWidth="1"/>
  </cols>
  <sheetData>
    <row r="1" spans="1:30" s="2" customFormat="1" ht="25.5" customHeight="1">
      <c r="A1" s="2" t="s">
        <v>2</v>
      </c>
      <c r="B1" s="2" t="s">
        <v>0</v>
      </c>
      <c r="C1" s="2" t="s">
        <v>1</v>
      </c>
      <c r="D1" s="2" t="s">
        <v>48</v>
      </c>
      <c r="E1" s="2" t="s">
        <v>49</v>
      </c>
      <c r="F1" s="2" t="s">
        <v>50</v>
      </c>
      <c r="G1" s="2" t="s">
        <v>51</v>
      </c>
      <c r="H1" s="2" t="s">
        <v>52</v>
      </c>
      <c r="I1" s="2" t="s">
        <v>53</v>
      </c>
      <c r="J1" s="2" t="s">
        <v>55</v>
      </c>
      <c r="K1" s="2" t="s">
        <v>56</v>
      </c>
      <c r="L1" s="2" t="s">
        <v>64</v>
      </c>
      <c r="M1" s="2" t="s">
        <v>65</v>
      </c>
      <c r="N1" s="2" t="s">
        <v>98</v>
      </c>
      <c r="O1" s="2" t="s">
        <v>66</v>
      </c>
      <c r="P1" s="2" t="s">
        <v>67</v>
      </c>
      <c r="Q1" s="2" t="s">
        <v>68</v>
      </c>
      <c r="R1" s="2" t="s">
        <v>69</v>
      </c>
      <c r="S1" s="2" t="s">
        <v>57</v>
      </c>
      <c r="T1" s="12" t="s">
        <v>85</v>
      </c>
      <c r="U1" s="12" t="s">
        <v>91</v>
      </c>
      <c r="V1" s="12" t="s">
        <v>93</v>
      </c>
      <c r="W1" s="12" t="s">
        <v>56</v>
      </c>
      <c r="X1" s="12" t="s">
        <v>67</v>
      </c>
      <c r="Y1" s="12" t="s">
        <v>68</v>
      </c>
      <c r="Z1" s="12" t="s">
        <v>69</v>
      </c>
      <c r="AA1" s="12" t="s">
        <v>57</v>
      </c>
      <c r="AC1" s="2" t="s">
        <v>95</v>
      </c>
      <c r="AD1" s="2" t="s">
        <v>97</v>
      </c>
    </row>
    <row r="2" spans="1:30" ht="12" customHeight="1">
      <c r="A2">
        <f>SL!A2</f>
        <v>6</v>
      </c>
      <c r="B2" s="8">
        <f>$F$39/3.6</f>
        <v>115.60699757409692</v>
      </c>
      <c r="C2">
        <f>$B2*3.6</f>
        <v>416.18519126674892</v>
      </c>
      <c r="D2">
        <f>0.5*$H$37*($B2)^2</f>
        <v>4360</v>
      </c>
      <c r="E2">
        <f>(2/$H$37)*($E$35)*(1/$B2)^2</f>
        <v>1.4999999999999998</v>
      </c>
      <c r="F2">
        <f>$J$33+$J$35*($E2)^2</f>
        <v>0.13242541958341605</v>
      </c>
      <c r="G2" s="7">
        <f>($F2*$D2*$A$33)/9.81</f>
        <v>31782.100700019848</v>
      </c>
      <c r="H2" s="8">
        <f>$E2/$F2</f>
        <v>11.327130430990518</v>
      </c>
      <c r="I2" s="7">
        <f>$D$33/$H2</f>
        <v>31782.100700019859</v>
      </c>
      <c r="J2" s="7">
        <f>$G2*9.81*$B2/1000</f>
        <v>36044.228069948884</v>
      </c>
      <c r="K2" s="7">
        <f>$J2/0.746</f>
        <v>48316.659611191535</v>
      </c>
      <c r="L2" s="10">
        <f>$B2/$J$37</f>
        <v>0.36579162628647188</v>
      </c>
      <c r="M2">
        <f>$R$35*(0.57-0.261*$L2+0.084*$L2*$L2)</f>
        <v>40415.887674537866</v>
      </c>
      <c r="N2">
        <f>M2/$O$35</f>
        <v>0.38861430456286411</v>
      </c>
      <c r="O2">
        <f>$M2*9.81*$B2/746</f>
        <v>61442.152804379526</v>
      </c>
      <c r="P2" s="7">
        <f>$M2-$G2</f>
        <v>8633.7869745180178</v>
      </c>
      <c r="Q2" s="8">
        <f>57.3*ASIN($P2/$D$33)</f>
        <v>1.3743428621519795</v>
      </c>
      <c r="R2" s="7">
        <f>$O2-$K2</f>
        <v>13125.493193187991</v>
      </c>
      <c r="S2">
        <f>$R2*746/($D$33*9.81)</f>
        <v>2.772572749495481</v>
      </c>
      <c r="T2" s="13">
        <f>U2*9.81/(D2*$A$33)</f>
        <v>0.13242541958341608</v>
      </c>
      <c r="U2" s="13">
        <f>IF(L2&lt;$M$33,I2,$M$37+$M$37*14*(L2-$M$33))</f>
        <v>31782.100700019859</v>
      </c>
      <c r="V2" s="14">
        <f>$U2*9.81*$B2/1000</f>
        <v>36044.228069948891</v>
      </c>
      <c r="W2" s="14">
        <f>$V2/0.746</f>
        <v>48316.659611191542</v>
      </c>
      <c r="X2" s="14">
        <f>$M2-$U2</f>
        <v>8633.7869745180069</v>
      </c>
      <c r="Y2" s="15">
        <f>57.3*ASIN($X2/$D$33)</f>
        <v>1.3743428621519778</v>
      </c>
      <c r="Z2" s="14">
        <f>$O2-$W2</f>
        <v>13125.493193187984</v>
      </c>
      <c r="AA2" s="13">
        <f>$Z2*746/($D$33*9.81)</f>
        <v>2.7725727494954793</v>
      </c>
      <c r="AC2">
        <f>11.27*(2/$S$33)*SQRT(2/($H$37*$A$33))*(SQRT(E2))*(1/T2)*(SQRT($D$33)-SQRT($D$33-$E$33))</f>
        <v>2104.2369290091247</v>
      </c>
      <c r="AD2">
        <f>(1/$S$33)*(E2/T2)*LN($D$33/($D$33-$E$33))</f>
        <v>5.431020595531642</v>
      </c>
    </row>
    <row r="3" spans="1:30" ht="12" customHeight="1">
      <c r="B3" s="8">
        <f>B2+$A$2</f>
        <v>121.60699757409692</v>
      </c>
      <c r="C3">
        <f t="shared" ref="C3:C30" si="0">$B3*3.6</f>
        <v>437.78519126674894</v>
      </c>
      <c r="D3">
        <f t="shared" ref="D3:D30" si="1">0.5*$H$37*($B3)^2</f>
        <v>4824.3118877587776</v>
      </c>
      <c r="E3">
        <f t="shared" ref="E3:E30" si="2">(2/$H$37)*($E$35)*(1/$B3)^2</f>
        <v>1.3556337467721797</v>
      </c>
      <c r="F3">
        <f t="shared" ref="F3:F30" si="3">$J$33+$J$35*($E3)^2</f>
        <v>0.11145977658406615</v>
      </c>
      <c r="G3" s="7">
        <f t="shared" ref="G3:G30" si="4">($F3*$D3*$A$33)/9.81</f>
        <v>29599.085789804463</v>
      </c>
      <c r="H3" s="8">
        <f t="shared" ref="H3:H30" si="5">$E3/$F3</f>
        <v>12.162537807975257</v>
      </c>
      <c r="I3" s="7">
        <f t="shared" ref="I3:I30" si="6">$D$33/$H3</f>
        <v>29599.085789804467</v>
      </c>
      <c r="J3" s="7">
        <f t="shared" ref="J3:J30" si="7">$G3*9.81*$B3/1000</f>
        <v>35310.662907133497</v>
      </c>
      <c r="K3" s="7">
        <f t="shared" ref="K3:K30" si="8">$J3/0.746</f>
        <v>47333.328293744635</v>
      </c>
      <c r="L3" s="10">
        <f t="shared" ref="L3:L30" si="9">$B3/$J$37</f>
        <v>0.38477620164759685</v>
      </c>
      <c r="M3">
        <f t="shared" ref="M3:M30" si="10">$R$35*(0.57-0.261*$L3+0.084*$L3*$L3)</f>
        <v>40103.2187129386</v>
      </c>
      <c r="N3">
        <f t="shared" ref="N3:N30" si="11">M3/$O$35</f>
        <v>0.38560787223979426</v>
      </c>
      <c r="O3">
        <f t="shared" ref="O3:O30" si="12">$M3*9.81*$B3/746</f>
        <v>64130.994803535985</v>
      </c>
      <c r="P3" s="7">
        <f t="shared" ref="P3:P30" si="13">$M3-$G3</f>
        <v>10504.132923134137</v>
      </c>
      <c r="Q3" s="8">
        <f t="shared" ref="Q3:Q30" si="14">57.3*ASIN($P3/$D$33)</f>
        <v>1.6721451482944598</v>
      </c>
      <c r="R3" s="7">
        <f t="shared" ref="R3:R29" si="15">$O3-$K3</f>
        <v>16797.66650979135</v>
      </c>
      <c r="S3">
        <f t="shared" ref="S3:S30" si="16">$R3*746/($D$33*9.81)</f>
        <v>3.5482668525043457</v>
      </c>
      <c r="T3" s="13">
        <f t="shared" ref="T3:T30" si="17">U3*9.81/(D3*$A$33)</f>
        <v>0.11145977658406615</v>
      </c>
      <c r="U3" s="13">
        <f t="shared" ref="U3:U30" si="18">IF(L3&lt;$M$33,I3,$M$37+$M$37*14*(L3-$M$33))</f>
        <v>29599.085789804467</v>
      </c>
      <c r="V3" s="14">
        <f t="shared" ref="V3:V30" si="19">$U3*9.81*$B3/1000</f>
        <v>35310.662907133497</v>
      </c>
      <c r="W3" s="14">
        <f t="shared" ref="W3:W30" si="20">$V3/0.746</f>
        <v>47333.328293744635</v>
      </c>
      <c r="X3" s="14">
        <f t="shared" ref="X3:X30" si="21">$M3-$U3</f>
        <v>10504.132923134133</v>
      </c>
      <c r="Y3" s="15">
        <f t="shared" ref="Y3:Y30" si="22">57.3*ASIN($X3/$D$33)</f>
        <v>1.6721451482944591</v>
      </c>
      <c r="Z3" s="14">
        <f t="shared" ref="Z3:Z30" si="23">$O3-$W3</f>
        <v>16797.66650979135</v>
      </c>
      <c r="AA3" s="13">
        <f t="shared" ref="AA3:AA30" si="24">$Z3*746/($D$33*9.81)</f>
        <v>3.5482668525043457</v>
      </c>
      <c r="AC3">
        <f t="shared" ref="AC3:AC30" si="25">11.27*(2/$S$33)*SQRT(2/($H$37*$A$33))*(SQRT(E3))*(1/T3)*(SQRT($D$33)-SQRT($D$33-$E$33))</f>
        <v>2376.6946239334238</v>
      </c>
      <c r="AD3">
        <f t="shared" ref="AD3:AD30" si="26">(1/$S$33)*(E3/T3)*LN($D$33/($D$33-$E$33))</f>
        <v>5.8315734714524359</v>
      </c>
    </row>
    <row r="4" spans="1:30" ht="12" customHeight="1">
      <c r="B4" s="8">
        <f t="shared" ref="B4:B30" si="27">B3+$A$2</f>
        <v>127.60699757409692</v>
      </c>
      <c r="C4">
        <f t="shared" si="0"/>
        <v>459.3851912667489</v>
      </c>
      <c r="D4">
        <f t="shared" si="1"/>
        <v>5312.1120298662263</v>
      </c>
      <c r="E4">
        <f t="shared" si="2"/>
        <v>1.2311487339179283</v>
      </c>
      <c r="F4">
        <f t="shared" si="3"/>
        <v>9.508343173746453E-2</v>
      </c>
      <c r="G4" s="7">
        <f t="shared" si="4"/>
        <v>27803.330728819234</v>
      </c>
      <c r="H4" s="8">
        <f t="shared" si="5"/>
        <v>12.948088972190876</v>
      </c>
      <c r="I4" s="7">
        <f t="shared" si="6"/>
        <v>27803.330728819234</v>
      </c>
      <c r="J4" s="7">
        <f t="shared" si="7"/>
        <v>34804.894652838295</v>
      </c>
      <c r="K4" s="7">
        <f t="shared" si="8"/>
        <v>46655.354762517825</v>
      </c>
      <c r="L4" s="10">
        <f t="shared" si="9"/>
        <v>0.40376077700872182</v>
      </c>
      <c r="M4">
        <f t="shared" si="10"/>
        <v>39795.587475486442</v>
      </c>
      <c r="N4">
        <f t="shared" si="11"/>
        <v>0.38264987957198504</v>
      </c>
      <c r="O4">
        <f t="shared" si="12"/>
        <v>66778.950686189302</v>
      </c>
      <c r="P4" s="7">
        <f t="shared" si="13"/>
        <v>11992.256746667208</v>
      </c>
      <c r="Q4" s="8">
        <f t="shared" si="14"/>
        <v>1.909120728017474</v>
      </c>
      <c r="R4" s="7">
        <f t="shared" si="15"/>
        <v>20123.595923671477</v>
      </c>
      <c r="S4">
        <f t="shared" si="16"/>
        <v>4.2508218821664183</v>
      </c>
      <c r="T4" s="13">
        <f t="shared" si="17"/>
        <v>9.5083431737464516E-2</v>
      </c>
      <c r="U4" s="13">
        <f t="shared" si="18"/>
        <v>27803.330728819234</v>
      </c>
      <c r="V4" s="14">
        <f t="shared" si="19"/>
        <v>34804.894652838295</v>
      </c>
      <c r="W4" s="14">
        <f t="shared" si="20"/>
        <v>46655.354762517825</v>
      </c>
      <c r="X4" s="14">
        <f t="shared" si="21"/>
        <v>11992.256746667208</v>
      </c>
      <c r="Y4" s="15">
        <f t="shared" si="22"/>
        <v>1.909120728017474</v>
      </c>
      <c r="Z4" s="14">
        <f t="shared" si="23"/>
        <v>20123.595923671477</v>
      </c>
      <c r="AA4" s="13">
        <f t="shared" si="24"/>
        <v>4.2508218821664183</v>
      </c>
      <c r="AC4">
        <f t="shared" si="25"/>
        <v>2655.0382357233279</v>
      </c>
      <c r="AD4">
        <f t="shared" si="26"/>
        <v>6.2082217830165352</v>
      </c>
    </row>
    <row r="5" spans="1:30" ht="12" customHeight="1">
      <c r="B5" s="8">
        <f t="shared" si="27"/>
        <v>133.60699757409691</v>
      </c>
      <c r="C5">
        <f t="shared" si="0"/>
        <v>480.98519126674887</v>
      </c>
      <c r="D5">
        <f t="shared" si="1"/>
        <v>5823.4004263223451</v>
      </c>
      <c r="E5">
        <f t="shared" si="2"/>
        <v>1.1230551775966759</v>
      </c>
      <c r="F5">
        <f t="shared" si="3"/>
        <v>8.2141953749567356E-2</v>
      </c>
      <c r="G5" s="7">
        <f t="shared" si="4"/>
        <v>26330.944320230141</v>
      </c>
      <c r="H5" s="8">
        <f t="shared" si="5"/>
        <v>13.672126438830793</v>
      </c>
      <c r="I5" s="7">
        <f t="shared" si="6"/>
        <v>26330.944320230141</v>
      </c>
      <c r="J5" s="7">
        <f t="shared" si="7"/>
        <v>34511.564440522532</v>
      </c>
      <c r="K5" s="7">
        <f t="shared" si="8"/>
        <v>46262.150724561034</v>
      </c>
      <c r="L5" s="10">
        <f t="shared" si="9"/>
        <v>0.42274535236984667</v>
      </c>
      <c r="M5">
        <f t="shared" si="10"/>
        <v>39492.993962181397</v>
      </c>
      <c r="N5">
        <f t="shared" si="11"/>
        <v>0.37974032655943651</v>
      </c>
      <c r="O5">
        <f t="shared" si="12"/>
        <v>69387.212893800446</v>
      </c>
      <c r="P5" s="7">
        <f t="shared" si="13"/>
        <v>13162.049641951256</v>
      </c>
      <c r="Q5" s="8">
        <f t="shared" si="14"/>
        <v>2.0954265797648746</v>
      </c>
      <c r="R5" s="7">
        <f t="shared" si="15"/>
        <v>23125.062169239412</v>
      </c>
      <c r="S5">
        <f t="shared" si="16"/>
        <v>4.8848387071731239</v>
      </c>
      <c r="T5" s="13">
        <f t="shared" si="17"/>
        <v>8.2141953749567356E-2</v>
      </c>
      <c r="U5" s="13">
        <f t="shared" si="18"/>
        <v>26330.944320230141</v>
      </c>
      <c r="V5" s="14">
        <f t="shared" si="19"/>
        <v>34511.564440522532</v>
      </c>
      <c r="W5" s="14">
        <f t="shared" si="20"/>
        <v>46262.150724561034</v>
      </c>
      <c r="X5" s="14">
        <f t="shared" si="21"/>
        <v>13162.049641951256</v>
      </c>
      <c r="Y5" s="15">
        <f t="shared" si="22"/>
        <v>2.0954265797648746</v>
      </c>
      <c r="Z5" s="14">
        <f t="shared" si="23"/>
        <v>23125.062169239412</v>
      </c>
      <c r="AA5" s="13">
        <f t="shared" si="24"/>
        <v>4.8848387071731239</v>
      </c>
      <c r="AC5">
        <f t="shared" si="25"/>
        <v>2935.3229159198186</v>
      </c>
      <c r="AD5">
        <f t="shared" si="26"/>
        <v>6.5553761145760472</v>
      </c>
    </row>
    <row r="6" spans="1:30" ht="12" customHeight="1">
      <c r="B6" s="8">
        <f t="shared" si="27"/>
        <v>139.60699757409691</v>
      </c>
      <c r="C6">
        <f t="shared" si="0"/>
        <v>502.58519126674889</v>
      </c>
      <c r="D6">
        <f t="shared" si="1"/>
        <v>6358.1770771271385</v>
      </c>
      <c r="E6">
        <f t="shared" si="2"/>
        <v>1.0285967063621035</v>
      </c>
      <c r="F6">
        <f t="shared" si="3"/>
        <v>7.1805943863081492E-2</v>
      </c>
      <c r="G6" s="7">
        <f t="shared" si="4"/>
        <v>25131.462730553551</v>
      </c>
      <c r="H6" s="8">
        <f t="shared" si="5"/>
        <v>14.324673571917897</v>
      </c>
      <c r="I6" s="7">
        <f t="shared" si="6"/>
        <v>25131.462730553547</v>
      </c>
      <c r="J6" s="7">
        <f t="shared" si="7"/>
        <v>34418.660233851959</v>
      </c>
      <c r="K6" s="7">
        <f t="shared" si="8"/>
        <v>46137.614254493245</v>
      </c>
      <c r="L6" s="10">
        <f t="shared" si="9"/>
        <v>0.44172992773097164</v>
      </c>
      <c r="M6">
        <f t="shared" si="10"/>
        <v>39195.438173023475</v>
      </c>
      <c r="N6">
        <f t="shared" si="11"/>
        <v>0.37687921320214879</v>
      </c>
      <c r="O6">
        <f t="shared" si="12"/>
        <v>71956.973867830442</v>
      </c>
      <c r="P6" s="7">
        <f t="shared" si="13"/>
        <v>14063.975442469924</v>
      </c>
      <c r="Q6" s="8">
        <f t="shared" si="14"/>
        <v>2.2390858862219258</v>
      </c>
      <c r="R6" s="7">
        <f t="shared" si="15"/>
        <v>25819.359613337198</v>
      </c>
      <c r="S6">
        <f t="shared" si="16"/>
        <v>5.453970515219603</v>
      </c>
      <c r="T6" s="13">
        <f t="shared" si="17"/>
        <v>7.1805943863081478E-2</v>
      </c>
      <c r="U6" s="13">
        <f t="shared" si="18"/>
        <v>25131.462730553547</v>
      </c>
      <c r="V6" s="14">
        <f t="shared" si="19"/>
        <v>34418.660233851959</v>
      </c>
      <c r="W6" s="14">
        <f t="shared" si="20"/>
        <v>46137.614254493245</v>
      </c>
      <c r="X6" s="14">
        <f t="shared" si="21"/>
        <v>14063.975442469928</v>
      </c>
      <c r="Y6" s="15">
        <f t="shared" si="22"/>
        <v>2.2390858862219263</v>
      </c>
      <c r="Z6" s="14">
        <f t="shared" si="23"/>
        <v>25819.359613337198</v>
      </c>
      <c r="AA6" s="13">
        <f t="shared" si="24"/>
        <v>5.453970515219603</v>
      </c>
      <c r="AC6">
        <f t="shared" si="25"/>
        <v>3213.5313102288897</v>
      </c>
      <c r="AD6">
        <f t="shared" si="26"/>
        <v>6.8682529672743264</v>
      </c>
    </row>
    <row r="7" spans="1:30" ht="12" customHeight="1">
      <c r="B7" s="8">
        <f t="shared" si="27"/>
        <v>145.60699757409691</v>
      </c>
      <c r="C7">
        <f t="shared" si="0"/>
        <v>524.18519126674892</v>
      </c>
      <c r="D7">
        <f t="shared" si="1"/>
        <v>6916.4419822806021</v>
      </c>
      <c r="E7">
        <f t="shared" si="2"/>
        <v>0.94557288512720605</v>
      </c>
      <c r="F7">
        <f t="shared" si="3"/>
        <v>6.3470529925063648E-2</v>
      </c>
      <c r="G7" s="7">
        <f t="shared" si="4"/>
        <v>24164.600246493992</v>
      </c>
      <c r="H7" s="8">
        <f t="shared" si="5"/>
        <v>14.897825593131092</v>
      </c>
      <c r="I7" s="7">
        <f t="shared" si="6"/>
        <v>24164.600246493985</v>
      </c>
      <c r="J7" s="7">
        <f t="shared" si="7"/>
        <v>34516.827265703374</v>
      </c>
      <c r="K7" s="7">
        <f t="shared" si="8"/>
        <v>46269.20545000452</v>
      </c>
      <c r="L7" s="10">
        <f t="shared" si="9"/>
        <v>0.46071450309209655</v>
      </c>
      <c r="M7">
        <f t="shared" si="10"/>
        <v>38902.920108012659</v>
      </c>
      <c r="N7">
        <f t="shared" si="11"/>
        <v>0.3740665395001217</v>
      </c>
      <c r="O7">
        <f t="shared" si="12"/>
        <v>74489.426049740272</v>
      </c>
      <c r="P7" s="7">
        <f t="shared" si="13"/>
        <v>14738.319861518667</v>
      </c>
      <c r="Q7" s="8">
        <f t="shared" si="14"/>
        <v>2.3465050388130253</v>
      </c>
      <c r="R7" s="7">
        <f t="shared" si="15"/>
        <v>28220.220599735752</v>
      </c>
      <c r="S7">
        <f t="shared" si="16"/>
        <v>5.9611180675622579</v>
      </c>
      <c r="T7" s="13">
        <f t="shared" si="17"/>
        <v>6.3470529925063635E-2</v>
      </c>
      <c r="U7" s="13">
        <f t="shared" si="18"/>
        <v>24164.600246493985</v>
      </c>
      <c r="V7" s="14">
        <f t="shared" si="19"/>
        <v>34516.827265703367</v>
      </c>
      <c r="W7" s="14">
        <f t="shared" si="20"/>
        <v>46269.205450004512</v>
      </c>
      <c r="X7" s="14">
        <f t="shared" si="21"/>
        <v>14738.319861518674</v>
      </c>
      <c r="Y7" s="15">
        <f t="shared" si="22"/>
        <v>2.3465050388130262</v>
      </c>
      <c r="Z7" s="14">
        <f t="shared" si="23"/>
        <v>28220.22059973576</v>
      </c>
      <c r="AA7" s="13">
        <f t="shared" si="24"/>
        <v>5.9611180675622597</v>
      </c>
      <c r="AC7">
        <f t="shared" si="25"/>
        <v>3485.7460745376602</v>
      </c>
      <c r="AD7">
        <f t="shared" si="26"/>
        <v>7.1430622360952256</v>
      </c>
    </row>
    <row r="8" spans="1:30" ht="12" customHeight="1">
      <c r="B8" s="8">
        <f t="shared" si="27"/>
        <v>151.60699757409691</v>
      </c>
      <c r="C8">
        <f t="shared" si="0"/>
        <v>545.78519126674894</v>
      </c>
      <c r="D8">
        <f t="shared" si="1"/>
        <v>7498.1951417827368</v>
      </c>
      <c r="E8">
        <f t="shared" si="2"/>
        <v>0.87220989535957594</v>
      </c>
      <c r="F8">
        <f t="shared" si="3"/>
        <v>5.6688510919773893E-2</v>
      </c>
      <c r="G8" s="7">
        <f t="shared" si="4"/>
        <v>23397.881679277772</v>
      </c>
      <c r="H8" s="8">
        <f t="shared" si="5"/>
        <v>15.386008226498232</v>
      </c>
      <c r="I8" s="7">
        <f t="shared" si="6"/>
        <v>23397.881679277769</v>
      </c>
      <c r="J8" s="7">
        <f t="shared" si="7"/>
        <v>34798.842217604753</v>
      </c>
      <c r="K8" s="7">
        <f t="shared" si="8"/>
        <v>46647.241578558649</v>
      </c>
      <c r="L8" s="10">
        <f t="shared" si="9"/>
        <v>0.47969907845322152</v>
      </c>
      <c r="M8">
        <f t="shared" si="10"/>
        <v>38615.439767148957</v>
      </c>
      <c r="N8">
        <f t="shared" si="11"/>
        <v>0.37130230545335535</v>
      </c>
      <c r="O8">
        <f t="shared" si="12"/>
        <v>76985.761880990904</v>
      </c>
      <c r="P8" s="7">
        <f t="shared" si="13"/>
        <v>15217.558087871184</v>
      </c>
      <c r="Q8" s="8">
        <f t="shared" si="14"/>
        <v>2.4228499009210864</v>
      </c>
      <c r="R8" s="7">
        <f t="shared" si="15"/>
        <v>30338.520302432255</v>
      </c>
      <c r="S8">
        <f t="shared" si="16"/>
        <v>6.4085785891987941</v>
      </c>
      <c r="T8" s="13">
        <f t="shared" si="17"/>
        <v>5.6688510919773887E-2</v>
      </c>
      <c r="U8" s="13">
        <f t="shared" si="18"/>
        <v>23397.881679277769</v>
      </c>
      <c r="V8" s="14">
        <f t="shared" si="19"/>
        <v>34798.842217604753</v>
      </c>
      <c r="W8" s="14">
        <f t="shared" si="20"/>
        <v>46647.241578558649</v>
      </c>
      <c r="X8" s="14">
        <f t="shared" si="21"/>
        <v>15217.558087871188</v>
      </c>
      <c r="Y8" s="15">
        <f t="shared" si="22"/>
        <v>2.4228499009210864</v>
      </c>
      <c r="Z8" s="14">
        <f t="shared" si="23"/>
        <v>30338.520302432255</v>
      </c>
      <c r="AA8" s="13">
        <f t="shared" si="24"/>
        <v>6.4085785891987941</v>
      </c>
      <c r="AC8">
        <f t="shared" si="25"/>
        <v>3748.3127639356126</v>
      </c>
      <c r="AD8">
        <f t="shared" si="26"/>
        <v>7.3771312222652687</v>
      </c>
    </row>
    <row r="9" spans="1:30" ht="12" customHeight="1">
      <c r="B9" s="8">
        <f t="shared" si="27"/>
        <v>157.60699757409691</v>
      </c>
      <c r="C9">
        <f t="shared" si="0"/>
        <v>567.38519126674885</v>
      </c>
      <c r="D9">
        <f t="shared" si="1"/>
        <v>8103.4365556335433</v>
      </c>
      <c r="E9">
        <f t="shared" si="2"/>
        <v>0.80706499706638224</v>
      </c>
      <c r="F9">
        <f t="shared" si="3"/>
        <v>5.1125086395850741E-2</v>
      </c>
      <c r="G9" s="7">
        <f t="shared" si="4"/>
        <v>22804.893248260185</v>
      </c>
      <c r="H9" s="8">
        <f t="shared" si="5"/>
        <v>15.786085735238636</v>
      </c>
      <c r="I9" s="7">
        <f t="shared" si="6"/>
        <v>22804.893248260185</v>
      </c>
      <c r="J9" s="7">
        <f t="shared" si="7"/>
        <v>35259.207505138169</v>
      </c>
      <c r="K9" s="7">
        <f t="shared" si="8"/>
        <v>47264.353224045801</v>
      </c>
      <c r="L9" s="10">
        <f t="shared" si="9"/>
        <v>0.49868365381434648</v>
      </c>
      <c r="M9">
        <f t="shared" si="10"/>
        <v>38332.997150432377</v>
      </c>
      <c r="N9">
        <f t="shared" si="11"/>
        <v>0.36858651106184975</v>
      </c>
      <c r="O9">
        <f t="shared" si="12"/>
        <v>79447.173803043348</v>
      </c>
      <c r="P9" s="7">
        <f t="shared" si="13"/>
        <v>15528.103902172192</v>
      </c>
      <c r="Q9" s="8">
        <f t="shared" si="14"/>
        <v>2.4723235724581416</v>
      </c>
      <c r="R9" s="7">
        <f t="shared" si="15"/>
        <v>32182.820578997547</v>
      </c>
      <c r="S9">
        <f t="shared" si="16"/>
        <v>6.7981606501110452</v>
      </c>
      <c r="T9" s="13">
        <f t="shared" si="17"/>
        <v>5.1125086395850741E-2</v>
      </c>
      <c r="U9" s="13">
        <f t="shared" si="18"/>
        <v>22804.893248260185</v>
      </c>
      <c r="V9" s="14">
        <f t="shared" si="19"/>
        <v>35259.207505138169</v>
      </c>
      <c r="W9" s="14">
        <f t="shared" si="20"/>
        <v>47264.353224045801</v>
      </c>
      <c r="X9" s="14">
        <f t="shared" si="21"/>
        <v>15528.103902172192</v>
      </c>
      <c r="Y9" s="15">
        <f t="shared" si="22"/>
        <v>2.4723235724581416</v>
      </c>
      <c r="Z9" s="14">
        <f t="shared" si="23"/>
        <v>32182.820578997547</v>
      </c>
      <c r="AA9" s="13">
        <f t="shared" si="24"/>
        <v>6.7981606501110452</v>
      </c>
      <c r="AC9">
        <f t="shared" si="25"/>
        <v>3997.9795410772972</v>
      </c>
      <c r="AD9">
        <f t="shared" si="26"/>
        <v>7.568956433691576</v>
      </c>
    </row>
    <row r="10" spans="1:30" ht="12" customHeight="1">
      <c r="B10" s="8">
        <f t="shared" si="27"/>
        <v>163.60699757409691</v>
      </c>
      <c r="C10">
        <f t="shared" si="0"/>
        <v>588.98519126674887</v>
      </c>
      <c r="D10">
        <f t="shared" si="1"/>
        <v>8732.1662238330209</v>
      </c>
      <c r="E10">
        <f t="shared" si="2"/>
        <v>0.74895505105596127</v>
      </c>
      <c r="F10">
        <f t="shared" si="3"/>
        <v>4.6526697945259279E-2</v>
      </c>
      <c r="G10" s="7">
        <f t="shared" si="4"/>
        <v>22363.973961692162</v>
      </c>
      <c r="H10" s="8">
        <f t="shared" si="5"/>
        <v>16.097317972944051</v>
      </c>
      <c r="I10" s="7">
        <f t="shared" si="6"/>
        <v>22363.973961692162</v>
      </c>
      <c r="J10" s="7">
        <f t="shared" si="7"/>
        <v>35893.834836574795</v>
      </c>
      <c r="K10" s="7">
        <f t="shared" si="8"/>
        <v>48115.060102647178</v>
      </c>
      <c r="L10" s="10">
        <f t="shared" si="9"/>
        <v>0.51766822917547139</v>
      </c>
      <c r="M10">
        <f t="shared" si="10"/>
        <v>38055.592257862911</v>
      </c>
      <c r="N10">
        <f t="shared" si="11"/>
        <v>0.3659191563256049</v>
      </c>
      <c r="O10">
        <f t="shared" si="12"/>
        <v>81874.854257358602</v>
      </c>
      <c r="P10" s="7">
        <f t="shared" si="13"/>
        <v>15691.618296170749</v>
      </c>
      <c r="Q10" s="8">
        <f t="shared" si="14"/>
        <v>2.4983741147462086</v>
      </c>
      <c r="R10" s="7">
        <f t="shared" si="15"/>
        <v>33759.794154711424</v>
      </c>
      <c r="S10">
        <f t="shared" si="16"/>
        <v>7.1312737680979499</v>
      </c>
      <c r="T10" s="13">
        <f t="shared" si="17"/>
        <v>4.6526697945259279E-2</v>
      </c>
      <c r="U10" s="13">
        <f t="shared" si="18"/>
        <v>22363.973961692162</v>
      </c>
      <c r="V10" s="14">
        <f t="shared" si="19"/>
        <v>35893.834836574795</v>
      </c>
      <c r="W10" s="14">
        <f t="shared" si="20"/>
        <v>48115.060102647178</v>
      </c>
      <c r="X10" s="14">
        <f t="shared" si="21"/>
        <v>15691.618296170749</v>
      </c>
      <c r="Y10" s="15">
        <f t="shared" si="22"/>
        <v>2.4983741147462086</v>
      </c>
      <c r="Z10" s="14">
        <f t="shared" si="23"/>
        <v>33759.794154711424</v>
      </c>
      <c r="AA10" s="13">
        <f t="shared" si="24"/>
        <v>7.1312737680979499</v>
      </c>
      <c r="AC10">
        <f t="shared" si="25"/>
        <v>4232.0034400245158</v>
      </c>
      <c r="AD10">
        <f t="shared" si="26"/>
        <v>7.7181829922864074</v>
      </c>
    </row>
    <row r="11" spans="1:30" ht="12" customHeight="1">
      <c r="B11" s="8">
        <f t="shared" si="27"/>
        <v>169.60699757409691</v>
      </c>
      <c r="C11">
        <f t="shared" si="0"/>
        <v>610.58519126674889</v>
      </c>
      <c r="D11">
        <f t="shared" si="1"/>
        <v>9384.3841463811714</v>
      </c>
      <c r="E11">
        <f t="shared" si="2"/>
        <v>0.69690241767457595</v>
      </c>
      <c r="F11">
        <f t="shared" si="3"/>
        <v>4.2699259773085564E-2</v>
      </c>
      <c r="G11" s="7">
        <f t="shared" si="4"/>
        <v>22057.225127160851</v>
      </c>
      <c r="H11" s="8">
        <f t="shared" si="5"/>
        <v>16.321182647617029</v>
      </c>
      <c r="I11" s="7">
        <f t="shared" si="6"/>
        <v>22057.225127160851</v>
      </c>
      <c r="J11" s="7">
        <f t="shared" si="7"/>
        <v>36699.795937896401</v>
      </c>
      <c r="K11" s="7">
        <f t="shared" si="8"/>
        <v>49195.43691407024</v>
      </c>
      <c r="L11" s="10">
        <f t="shared" si="9"/>
        <v>0.53665280453659636</v>
      </c>
      <c r="M11">
        <f t="shared" si="10"/>
        <v>37783.225089440552</v>
      </c>
      <c r="N11">
        <f t="shared" si="11"/>
        <v>0.36330024124462068</v>
      </c>
      <c r="O11">
        <f t="shared" si="12"/>
        <v>84269.995685397604</v>
      </c>
      <c r="P11" s="7">
        <f t="shared" si="13"/>
        <v>15725.9999622797</v>
      </c>
      <c r="Q11" s="8">
        <f t="shared" si="14"/>
        <v>2.5038517473033095</v>
      </c>
      <c r="R11" s="7">
        <f t="shared" si="15"/>
        <v>35074.558771327364</v>
      </c>
      <c r="S11">
        <f t="shared" si="16"/>
        <v>7.408998992923947</v>
      </c>
      <c r="T11" s="13">
        <f t="shared" si="17"/>
        <v>4.2699259773085564E-2</v>
      </c>
      <c r="U11" s="13">
        <f t="shared" si="18"/>
        <v>22057.225127160851</v>
      </c>
      <c r="V11" s="14">
        <f t="shared" si="19"/>
        <v>36699.795937896401</v>
      </c>
      <c r="W11" s="14">
        <f t="shared" si="20"/>
        <v>49195.43691407024</v>
      </c>
      <c r="X11" s="14">
        <f t="shared" si="21"/>
        <v>15725.9999622797</v>
      </c>
      <c r="Y11" s="15">
        <f t="shared" si="22"/>
        <v>2.5038517473033095</v>
      </c>
      <c r="Z11" s="14">
        <f t="shared" si="23"/>
        <v>35074.558771327364</v>
      </c>
      <c r="AA11" s="13">
        <f t="shared" si="24"/>
        <v>7.408998992923947</v>
      </c>
      <c r="AC11">
        <f t="shared" si="25"/>
        <v>4448.2174103208699</v>
      </c>
      <c r="AD11">
        <f t="shared" si="26"/>
        <v>7.8255194148841847</v>
      </c>
    </row>
    <row r="12" spans="1:30" ht="12" customHeight="1">
      <c r="B12" s="8">
        <f t="shared" si="27"/>
        <v>175.60699757409691</v>
      </c>
      <c r="C12">
        <f t="shared" si="0"/>
        <v>632.18519126674892</v>
      </c>
      <c r="D12">
        <f t="shared" si="1"/>
        <v>10060.090323277993</v>
      </c>
      <c r="E12">
        <f t="shared" si="2"/>
        <v>0.65009356674135688</v>
      </c>
      <c r="F12">
        <f t="shared" si="3"/>
        <v>3.9492737383772444E-2</v>
      </c>
      <c r="G12" s="7">
        <f t="shared" si="4"/>
        <v>21869.752579499902</v>
      </c>
      <c r="H12" s="8">
        <f t="shared" si="5"/>
        <v>16.461091578029741</v>
      </c>
      <c r="I12" s="7">
        <f t="shared" si="6"/>
        <v>21869.752579499898</v>
      </c>
      <c r="J12" s="7">
        <f t="shared" si="7"/>
        <v>37675.124379990266</v>
      </c>
      <c r="K12" s="7">
        <f t="shared" si="8"/>
        <v>50502.847694356926</v>
      </c>
      <c r="L12" s="10">
        <f t="shared" si="9"/>
        <v>0.55563737989772133</v>
      </c>
      <c r="M12">
        <f t="shared" si="10"/>
        <v>37515.895645165314</v>
      </c>
      <c r="N12">
        <f t="shared" si="11"/>
        <v>0.36072976581889726</v>
      </c>
      <c r="O12">
        <f t="shared" si="12"/>
        <v>86633.790528621394</v>
      </c>
      <c r="P12" s="7">
        <f t="shared" si="13"/>
        <v>15646.143065665412</v>
      </c>
      <c r="Q12" s="8">
        <f t="shared" si="14"/>
        <v>2.4911291081742544</v>
      </c>
      <c r="R12" s="7">
        <f t="shared" si="15"/>
        <v>36130.942834264468</v>
      </c>
      <c r="S12">
        <f t="shared" si="16"/>
        <v>7.6321450204896628</v>
      </c>
      <c r="T12" s="13">
        <f t="shared" si="17"/>
        <v>3.9492737383772444E-2</v>
      </c>
      <c r="U12" s="13">
        <f t="shared" si="18"/>
        <v>21869.752579499898</v>
      </c>
      <c r="V12" s="14">
        <f t="shared" si="19"/>
        <v>37675.124379990266</v>
      </c>
      <c r="W12" s="14">
        <f t="shared" si="20"/>
        <v>50502.847694356926</v>
      </c>
      <c r="X12" s="14">
        <f t="shared" si="21"/>
        <v>15646.143065665416</v>
      </c>
      <c r="Y12" s="15">
        <f t="shared" si="22"/>
        <v>2.4911291081742553</v>
      </c>
      <c r="Z12" s="14">
        <f t="shared" si="23"/>
        <v>36130.942834264468</v>
      </c>
      <c r="AA12" s="13">
        <f t="shared" si="24"/>
        <v>7.6321450204896628</v>
      </c>
      <c r="AC12">
        <f t="shared" si="25"/>
        <v>4645.0571656092679</v>
      </c>
      <c r="AD12">
        <f t="shared" si="26"/>
        <v>7.8926015666435854</v>
      </c>
    </row>
    <row r="13" spans="1:30" ht="12" customHeight="1">
      <c r="B13" s="8">
        <f t="shared" si="27"/>
        <v>181.60699757409691</v>
      </c>
      <c r="C13">
        <f t="shared" si="0"/>
        <v>653.78519126674894</v>
      </c>
      <c r="D13">
        <f t="shared" si="1"/>
        <v>10759.284754523485</v>
      </c>
      <c r="E13">
        <f t="shared" si="2"/>
        <v>0.60784709664370695</v>
      </c>
      <c r="F13">
        <f t="shared" si="3"/>
        <v>3.6790082580780044E-2</v>
      </c>
      <c r="G13" s="7">
        <f t="shared" si="4"/>
        <v>21789.081172241105</v>
      </c>
      <c r="H13" s="8">
        <f t="shared" si="5"/>
        <v>16.522036755667948</v>
      </c>
      <c r="I13" s="7">
        <f t="shared" si="6"/>
        <v>21789.081172241105</v>
      </c>
      <c r="J13" s="7">
        <f t="shared" si="7"/>
        <v>38818.656689688003</v>
      </c>
      <c r="K13" s="7">
        <f t="shared" si="8"/>
        <v>52035.732828000007</v>
      </c>
      <c r="L13" s="10">
        <f t="shared" si="9"/>
        <v>0.57462195525884618</v>
      </c>
      <c r="M13">
        <f t="shared" si="10"/>
        <v>37253.603925037183</v>
      </c>
      <c r="N13">
        <f t="shared" si="11"/>
        <v>0.35820773004843448</v>
      </c>
      <c r="O13">
        <f t="shared" si="12"/>
        <v>88967.431228490925</v>
      </c>
      <c r="P13" s="7">
        <f t="shared" si="13"/>
        <v>15464.522752796078</v>
      </c>
      <c r="Q13" s="8">
        <f t="shared" si="14"/>
        <v>2.462194184117354</v>
      </c>
      <c r="R13" s="7">
        <f t="shared" si="15"/>
        <v>36931.698400490917</v>
      </c>
      <c r="S13">
        <f t="shared" si="16"/>
        <v>7.8012931834766741</v>
      </c>
      <c r="T13" s="13">
        <f t="shared" si="17"/>
        <v>3.6790082580780044E-2</v>
      </c>
      <c r="U13" s="13">
        <f t="shared" si="18"/>
        <v>21789.081172241105</v>
      </c>
      <c r="V13" s="14">
        <f t="shared" si="19"/>
        <v>38818.656689688003</v>
      </c>
      <c r="W13" s="14">
        <f t="shared" si="20"/>
        <v>52035.732828000007</v>
      </c>
      <c r="X13" s="14">
        <f t="shared" si="21"/>
        <v>15464.522752796078</v>
      </c>
      <c r="Y13" s="15">
        <f t="shared" si="22"/>
        <v>2.462194184117354</v>
      </c>
      <c r="Z13" s="14">
        <f t="shared" si="23"/>
        <v>36931.698400490917</v>
      </c>
      <c r="AA13" s="13">
        <f t="shared" si="24"/>
        <v>7.8012931834766741</v>
      </c>
      <c r="AC13">
        <f t="shared" si="25"/>
        <v>4821.5511335490664</v>
      </c>
      <c r="AD13">
        <f t="shared" si="26"/>
        <v>7.9218229583250883</v>
      </c>
    </row>
    <row r="14" spans="1:30" ht="12" customHeight="1">
      <c r="B14" s="8">
        <f t="shared" si="27"/>
        <v>187.60699757409691</v>
      </c>
      <c r="C14">
        <f t="shared" si="0"/>
        <v>675.38519126674885</v>
      </c>
      <c r="D14">
        <f t="shared" si="1"/>
        <v>11481.967440117651</v>
      </c>
      <c r="E14">
        <f t="shared" si="2"/>
        <v>0.56958879513535587</v>
      </c>
      <c r="F14">
        <f t="shared" si="3"/>
        <v>3.4499199360500624E-2</v>
      </c>
      <c r="G14" s="7">
        <f t="shared" si="4"/>
        <v>21804.698189030962</v>
      </c>
      <c r="H14" s="8">
        <f t="shared" si="5"/>
        <v>16.51020330018147</v>
      </c>
      <c r="I14" s="7">
        <f t="shared" si="6"/>
        <v>21804.698189030969</v>
      </c>
      <c r="J14" s="7">
        <f t="shared" si="7"/>
        <v>40129.903950086307</v>
      </c>
      <c r="K14" s="7">
        <f t="shared" si="8"/>
        <v>53793.4369304106</v>
      </c>
      <c r="L14" s="10">
        <f t="shared" si="9"/>
        <v>0.59360653061997115</v>
      </c>
      <c r="M14">
        <f t="shared" si="10"/>
        <v>36996.349929056174</v>
      </c>
      <c r="N14">
        <f t="shared" si="11"/>
        <v>0.35573413393323244</v>
      </c>
      <c r="O14">
        <f t="shared" si="12"/>
        <v>91272.110226467237</v>
      </c>
      <c r="P14" s="7">
        <f t="shared" si="13"/>
        <v>15191.651740025212</v>
      </c>
      <c r="Q14" s="8">
        <f t="shared" si="14"/>
        <v>2.4187227912834408</v>
      </c>
      <c r="R14" s="7">
        <f t="shared" si="15"/>
        <v>37478.673296056637</v>
      </c>
      <c r="S14">
        <f t="shared" si="16"/>
        <v>7.9168338087151016</v>
      </c>
      <c r="T14" s="13">
        <f t="shared" si="17"/>
        <v>3.4499199360500638E-2</v>
      </c>
      <c r="U14" s="13">
        <f t="shared" si="18"/>
        <v>21804.698189030969</v>
      </c>
      <c r="V14" s="14">
        <f t="shared" si="19"/>
        <v>40129.903950086336</v>
      </c>
      <c r="W14" s="14">
        <f t="shared" si="20"/>
        <v>53793.436930410637</v>
      </c>
      <c r="X14" s="14">
        <f t="shared" si="21"/>
        <v>15191.651740025205</v>
      </c>
      <c r="Y14" s="15">
        <f t="shared" si="22"/>
        <v>2.4187227912834395</v>
      </c>
      <c r="Z14" s="14">
        <f t="shared" si="23"/>
        <v>37478.673296056601</v>
      </c>
      <c r="AA14" s="13">
        <f t="shared" si="24"/>
        <v>7.9168338087150936</v>
      </c>
      <c r="AC14">
        <f t="shared" si="25"/>
        <v>4977.2799503875531</v>
      </c>
      <c r="AD14">
        <f t="shared" si="26"/>
        <v>7.9161491699940578</v>
      </c>
    </row>
    <row r="15" spans="1:30" ht="12" customHeight="1">
      <c r="B15" s="8">
        <f t="shared" si="27"/>
        <v>193.60699757409691</v>
      </c>
      <c r="C15">
        <f t="shared" si="0"/>
        <v>696.98519126674887</v>
      </c>
      <c r="D15">
        <f t="shared" si="1"/>
        <v>12228.138380060487</v>
      </c>
      <c r="E15">
        <f t="shared" si="2"/>
        <v>0.53483202403599639</v>
      </c>
      <c r="F15">
        <f t="shared" si="3"/>
        <v>3.2547045679248869E-2</v>
      </c>
      <c r="G15" s="7">
        <f t="shared" si="4"/>
        <v>21907.694225394767</v>
      </c>
      <c r="H15" s="8">
        <f t="shared" si="5"/>
        <v>16.432582831227322</v>
      </c>
      <c r="I15" s="7">
        <f t="shared" si="6"/>
        <v>21907.694225394767</v>
      </c>
      <c r="J15" s="7">
        <f t="shared" si="7"/>
        <v>41608.947275978106</v>
      </c>
      <c r="K15" s="7">
        <f t="shared" si="8"/>
        <v>55776.068734555105</v>
      </c>
      <c r="L15" s="10">
        <f t="shared" si="9"/>
        <v>0.61259110598109612</v>
      </c>
      <c r="M15">
        <f t="shared" si="10"/>
        <v>36744.133657222272</v>
      </c>
      <c r="N15">
        <f t="shared" si="11"/>
        <v>0.3533089774732911</v>
      </c>
      <c r="O15">
        <f t="shared" si="12"/>
        <v>93549.019964011241</v>
      </c>
      <c r="P15" s="7">
        <f t="shared" si="13"/>
        <v>14836.439431827504</v>
      </c>
      <c r="Q15" s="8">
        <f t="shared" si="14"/>
        <v>2.3621355956373256</v>
      </c>
      <c r="R15" s="7">
        <f t="shared" si="15"/>
        <v>37772.951229456135</v>
      </c>
      <c r="S15">
        <f t="shared" si="16"/>
        <v>7.978995814127952</v>
      </c>
      <c r="T15" s="13">
        <f t="shared" si="17"/>
        <v>3.2547045679248869E-2</v>
      </c>
      <c r="U15" s="13">
        <f t="shared" si="18"/>
        <v>21907.694225394767</v>
      </c>
      <c r="V15" s="14">
        <f t="shared" si="19"/>
        <v>41608.947275978106</v>
      </c>
      <c r="W15" s="14">
        <f t="shared" si="20"/>
        <v>55776.068734555105</v>
      </c>
      <c r="X15" s="14">
        <f t="shared" si="21"/>
        <v>14836.439431827504</v>
      </c>
      <c r="Y15" s="15">
        <f t="shared" si="22"/>
        <v>2.3621355956373256</v>
      </c>
      <c r="Z15" s="14">
        <f t="shared" si="23"/>
        <v>37772.951229456135</v>
      </c>
      <c r="AA15" s="13">
        <f t="shared" si="24"/>
        <v>7.978995814127952</v>
      </c>
      <c r="AC15">
        <f t="shared" si="25"/>
        <v>5112.3136950758399</v>
      </c>
      <c r="AD15">
        <f t="shared" si="26"/>
        <v>7.8789324743717151</v>
      </c>
    </row>
    <row r="16" spans="1:30" ht="12" customHeight="1">
      <c r="B16" s="8">
        <f t="shared" si="27"/>
        <v>199.60699757409691</v>
      </c>
      <c r="C16">
        <f t="shared" si="0"/>
        <v>718.58519126674889</v>
      </c>
      <c r="D16">
        <f t="shared" si="1"/>
        <v>12997.797574351995</v>
      </c>
      <c r="E16">
        <f t="shared" si="2"/>
        <v>0.50316216748175135</v>
      </c>
      <c r="F16">
        <f t="shared" si="3"/>
        <v>3.0875258404981631E-2</v>
      </c>
      <c r="G16" s="7">
        <f t="shared" si="4"/>
        <v>22090.478466262088</v>
      </c>
      <c r="H16" s="8">
        <f t="shared" si="5"/>
        <v>16.296613971028908</v>
      </c>
      <c r="I16" s="7">
        <f t="shared" si="6"/>
        <v>22090.478466262088</v>
      </c>
      <c r="J16" s="7">
        <f t="shared" si="7"/>
        <v>43256.352140749259</v>
      </c>
      <c r="K16" s="7">
        <f t="shared" si="8"/>
        <v>57984.386247653165</v>
      </c>
      <c r="L16" s="10">
        <f t="shared" si="9"/>
        <v>0.63157568134222108</v>
      </c>
      <c r="M16">
        <f t="shared" si="10"/>
        <v>36496.955109535484</v>
      </c>
      <c r="N16">
        <f t="shared" si="11"/>
        <v>0.35093226066861044</v>
      </c>
      <c r="O16">
        <f t="shared" si="12"/>
        <v>95799.352882583989</v>
      </c>
      <c r="P16" s="7">
        <f t="shared" si="13"/>
        <v>14406.476643273396</v>
      </c>
      <c r="Q16" s="8">
        <f t="shared" si="14"/>
        <v>2.2936433322599772</v>
      </c>
      <c r="R16" s="7">
        <f t="shared" si="15"/>
        <v>37814.966634930825</v>
      </c>
      <c r="S16">
        <f t="shared" si="16"/>
        <v>7.9878709677365487</v>
      </c>
      <c r="T16" s="13">
        <f t="shared" si="17"/>
        <v>3.0875258404981627E-2</v>
      </c>
      <c r="U16" s="13">
        <f t="shared" si="18"/>
        <v>22090.478466262088</v>
      </c>
      <c r="V16" s="14">
        <f t="shared" si="19"/>
        <v>43256.352140749259</v>
      </c>
      <c r="W16" s="14">
        <f t="shared" si="20"/>
        <v>57984.386247653165</v>
      </c>
      <c r="X16" s="14">
        <f t="shared" si="21"/>
        <v>14406.476643273396</v>
      </c>
      <c r="Y16" s="15">
        <f t="shared" si="22"/>
        <v>2.2936433322599772</v>
      </c>
      <c r="Z16" s="14">
        <f t="shared" si="23"/>
        <v>37814.966634930825</v>
      </c>
      <c r="AA16" s="13">
        <f t="shared" si="24"/>
        <v>7.9878709677365487</v>
      </c>
      <c r="AC16">
        <f t="shared" si="25"/>
        <v>5227.1354596450292</v>
      </c>
      <c r="AD16">
        <f t="shared" si="26"/>
        <v>7.8137394685537398</v>
      </c>
    </row>
    <row r="17" spans="1:30" ht="12" customHeight="1">
      <c r="B17" s="8">
        <f t="shared" si="27"/>
        <v>205.60699757409691</v>
      </c>
      <c r="C17">
        <f t="shared" si="0"/>
        <v>740.18519126674892</v>
      </c>
      <c r="D17">
        <f t="shared" si="1"/>
        <v>13790.945022992175</v>
      </c>
      <c r="E17">
        <f t="shared" si="2"/>
        <v>0.47422420937046411</v>
      </c>
      <c r="F17">
        <f t="shared" si="3"/>
        <v>2.9436876666975177E-2</v>
      </c>
      <c r="G17" s="7">
        <f t="shared" si="4"/>
        <v>22346.551253001235</v>
      </c>
      <c r="H17" s="8">
        <f t="shared" si="5"/>
        <v>16.10986840538316</v>
      </c>
      <c r="I17" s="7">
        <f t="shared" si="6"/>
        <v>22346.551253001231</v>
      </c>
      <c r="J17" s="7">
        <f t="shared" si="7"/>
        <v>45073.097703892177</v>
      </c>
      <c r="K17" s="7">
        <f t="shared" si="8"/>
        <v>60419.702015941257</v>
      </c>
      <c r="L17" s="10">
        <f t="shared" si="9"/>
        <v>0.65056025670334594</v>
      </c>
      <c r="M17">
        <f t="shared" si="10"/>
        <v>36254.814285995817</v>
      </c>
      <c r="N17">
        <f t="shared" si="11"/>
        <v>0.34860398351919053</v>
      </c>
      <c r="O17">
        <f t="shared" si="12"/>
        <v>98024.301423646451</v>
      </c>
      <c r="P17" s="7">
        <f t="shared" si="13"/>
        <v>13908.263032994582</v>
      </c>
      <c r="Q17" s="8">
        <f t="shared" si="14"/>
        <v>2.2142829356394973</v>
      </c>
      <c r="R17" s="7">
        <f t="shared" si="15"/>
        <v>37604.599407705195</v>
      </c>
      <c r="S17">
        <f t="shared" si="16"/>
        <v>7.9434338991244982</v>
      </c>
      <c r="T17" s="13">
        <f t="shared" si="17"/>
        <v>2.9436876666975167E-2</v>
      </c>
      <c r="U17" s="13">
        <f t="shared" si="18"/>
        <v>22346.551253001231</v>
      </c>
      <c r="V17" s="14">
        <f t="shared" si="19"/>
        <v>45073.097703892163</v>
      </c>
      <c r="W17" s="14">
        <f t="shared" si="20"/>
        <v>60419.702015941235</v>
      </c>
      <c r="X17" s="14">
        <f t="shared" si="21"/>
        <v>13908.263032994586</v>
      </c>
      <c r="Y17" s="15">
        <f t="shared" si="22"/>
        <v>2.2142829356394977</v>
      </c>
      <c r="Z17" s="14">
        <f t="shared" si="23"/>
        <v>37604.599407705216</v>
      </c>
      <c r="AA17" s="13">
        <f t="shared" si="24"/>
        <v>7.9434338991245017</v>
      </c>
      <c r="AC17">
        <f t="shared" si="25"/>
        <v>5322.5591752576684</v>
      </c>
      <c r="AD17">
        <f t="shared" si="26"/>
        <v>7.7242005496434913</v>
      </c>
    </row>
    <row r="18" spans="1:30" ht="12" customHeight="1">
      <c r="B18" s="8">
        <f t="shared" si="27"/>
        <v>211.60699757409691</v>
      </c>
      <c r="C18">
        <f t="shared" si="0"/>
        <v>761.78519126674894</v>
      </c>
      <c r="D18">
        <f t="shared" si="1"/>
        <v>14607.580725981028</v>
      </c>
      <c r="E18">
        <f t="shared" si="2"/>
        <v>0.44771274057503324</v>
      </c>
      <c r="F18">
        <f t="shared" si="3"/>
        <v>2.8193865569394239E-2</v>
      </c>
      <c r="G18" s="7">
        <f t="shared" si="4"/>
        <v>22670.321134810096</v>
      </c>
      <c r="H18" s="8">
        <f t="shared" si="5"/>
        <v>15.879792697211636</v>
      </c>
      <c r="I18" s="7">
        <f t="shared" si="6"/>
        <v>22670.321134810099</v>
      </c>
      <c r="J18" s="7">
        <f t="shared" si="7"/>
        <v>47060.518161795808</v>
      </c>
      <c r="K18" s="7">
        <f t="shared" si="8"/>
        <v>63083.8045064287</v>
      </c>
      <c r="L18" s="10">
        <f t="shared" si="9"/>
        <v>0.66954483206447091</v>
      </c>
      <c r="M18">
        <f t="shared" si="10"/>
        <v>36017.711186603265</v>
      </c>
      <c r="N18">
        <f t="shared" si="11"/>
        <v>0.34632414602503137</v>
      </c>
      <c r="O18">
        <f t="shared" si="12"/>
        <v>100225.05802865962</v>
      </c>
      <c r="P18" s="7">
        <f t="shared" si="13"/>
        <v>13347.390051793169</v>
      </c>
      <c r="Q18" s="8">
        <f t="shared" si="14"/>
        <v>2.1249466109978186</v>
      </c>
      <c r="R18" s="7">
        <f t="shared" si="15"/>
        <v>37141.253522230923</v>
      </c>
      <c r="S18">
        <f t="shared" si="16"/>
        <v>7.8455587064175631</v>
      </c>
      <c r="T18" s="13">
        <f t="shared" si="17"/>
        <v>2.8193865569394246E-2</v>
      </c>
      <c r="U18" s="13">
        <f t="shared" si="18"/>
        <v>22670.321134810099</v>
      </c>
      <c r="V18" s="14">
        <f t="shared" si="19"/>
        <v>47060.518161795808</v>
      </c>
      <c r="W18" s="14">
        <f t="shared" si="20"/>
        <v>63083.8045064287</v>
      </c>
      <c r="X18" s="14">
        <f t="shared" si="21"/>
        <v>13347.390051793165</v>
      </c>
      <c r="Y18" s="15">
        <f t="shared" si="22"/>
        <v>2.1249466109978181</v>
      </c>
      <c r="Z18" s="14">
        <f t="shared" si="23"/>
        <v>37141.253522230923</v>
      </c>
      <c r="AA18" s="13">
        <f t="shared" si="24"/>
        <v>7.8455587064175631</v>
      </c>
      <c r="AC18">
        <f t="shared" si="25"/>
        <v>5399.6482350031229</v>
      </c>
      <c r="AD18">
        <f t="shared" si="26"/>
        <v>7.6138861220641623</v>
      </c>
    </row>
    <row r="19" spans="1:30" ht="12" customHeight="1">
      <c r="B19" s="8">
        <f t="shared" si="27"/>
        <v>217.60699757409691</v>
      </c>
      <c r="C19">
        <f t="shared" si="0"/>
        <v>783.38519126674885</v>
      </c>
      <c r="D19">
        <f t="shared" si="1"/>
        <v>15447.70468331855</v>
      </c>
      <c r="E19">
        <f t="shared" si="2"/>
        <v>0.4233638675823681</v>
      </c>
      <c r="F19">
        <f t="shared" si="3"/>
        <v>2.711522882372764E-2</v>
      </c>
      <c r="G19" s="7">
        <f t="shared" si="4"/>
        <v>23056.956731534949</v>
      </c>
      <c r="H19" s="8">
        <f t="shared" si="5"/>
        <v>15.613508937527254</v>
      </c>
      <c r="I19" s="7">
        <f t="shared" si="6"/>
        <v>23056.956731534941</v>
      </c>
      <c r="J19" s="7">
        <f t="shared" si="7"/>
        <v>49220.253801218249</v>
      </c>
      <c r="K19" s="7">
        <f t="shared" si="8"/>
        <v>65978.892494930624</v>
      </c>
      <c r="L19" s="10">
        <f t="shared" si="9"/>
        <v>0.68852940742559587</v>
      </c>
      <c r="M19">
        <f t="shared" si="10"/>
        <v>35785.645811357826</v>
      </c>
      <c r="N19">
        <f t="shared" si="11"/>
        <v>0.34409274818613295</v>
      </c>
      <c r="O19">
        <f t="shared" si="12"/>
        <v>102402.81513908446</v>
      </c>
      <c r="P19" s="7">
        <f t="shared" si="13"/>
        <v>12728.689079822878</v>
      </c>
      <c r="Q19" s="8">
        <f t="shared" si="14"/>
        <v>2.0264053801927702</v>
      </c>
      <c r="R19" s="7">
        <f t="shared" si="15"/>
        <v>36423.922644153834</v>
      </c>
      <c r="S19">
        <f t="shared" si="16"/>
        <v>7.6940328158734737</v>
      </c>
      <c r="T19" s="13">
        <f t="shared" si="17"/>
        <v>2.7115228823727629E-2</v>
      </c>
      <c r="U19" s="13">
        <f t="shared" si="18"/>
        <v>23056.956731534941</v>
      </c>
      <c r="V19" s="14">
        <f t="shared" si="19"/>
        <v>49220.253801218227</v>
      </c>
      <c r="W19" s="14">
        <f t="shared" si="20"/>
        <v>65978.892494930595</v>
      </c>
      <c r="X19" s="14">
        <f t="shared" si="21"/>
        <v>12728.689079822885</v>
      </c>
      <c r="Y19" s="15">
        <f t="shared" si="22"/>
        <v>2.0264053801927715</v>
      </c>
      <c r="Z19" s="14">
        <f t="shared" si="23"/>
        <v>36423.922644153863</v>
      </c>
      <c r="AA19" s="13">
        <f t="shared" si="24"/>
        <v>7.6940328158734799</v>
      </c>
      <c r="AC19">
        <f t="shared" si="25"/>
        <v>5459.6397548799605</v>
      </c>
      <c r="AD19">
        <f t="shared" si="26"/>
        <v>7.4862110156537414</v>
      </c>
    </row>
    <row r="20" spans="1:30" ht="12" customHeight="1">
      <c r="B20" s="8">
        <f t="shared" si="27"/>
        <v>223.60699757409691</v>
      </c>
      <c r="C20">
        <f t="shared" si="0"/>
        <v>804.98519126674887</v>
      </c>
      <c r="D20">
        <f t="shared" si="1"/>
        <v>16311.316895004746</v>
      </c>
      <c r="E20">
        <f t="shared" si="2"/>
        <v>0.40094862003464854</v>
      </c>
      <c r="F20">
        <f t="shared" si="3"/>
        <v>2.6175558710614066E-2</v>
      </c>
      <c r="G20" s="7">
        <f t="shared" si="4"/>
        <v>23502.266038493275</v>
      </c>
      <c r="H20" s="8">
        <f t="shared" si="5"/>
        <v>15.317671896419379</v>
      </c>
      <c r="I20" s="7">
        <f t="shared" si="6"/>
        <v>23502.266038493271</v>
      </c>
      <c r="J20" s="7">
        <f t="shared" si="7"/>
        <v>51554.209932990983</v>
      </c>
      <c r="K20" s="7">
        <f t="shared" si="8"/>
        <v>69107.520017414194</v>
      </c>
      <c r="L20" s="10">
        <f t="shared" si="9"/>
        <v>0.70751398278672084</v>
      </c>
      <c r="M20">
        <f t="shared" si="10"/>
        <v>35558.618160259495</v>
      </c>
      <c r="N20">
        <f t="shared" si="11"/>
        <v>0.34190979000249516</v>
      </c>
      <c r="O20">
        <f t="shared" si="12"/>
        <v>104558.76519638198</v>
      </c>
      <c r="P20" s="7">
        <f t="shared" si="13"/>
        <v>12056.35212176622</v>
      </c>
      <c r="Q20" s="8">
        <f t="shared" si="14"/>
        <v>1.9193282706746493</v>
      </c>
      <c r="R20" s="7">
        <f t="shared" si="15"/>
        <v>35451.245178967787</v>
      </c>
      <c r="S20">
        <f t="shared" si="16"/>
        <v>7.4885686101228819</v>
      </c>
      <c r="T20" s="13">
        <f t="shared" si="17"/>
        <v>2.6175558710614062E-2</v>
      </c>
      <c r="U20" s="13">
        <f t="shared" si="18"/>
        <v>23502.266038493271</v>
      </c>
      <c r="V20" s="14">
        <f t="shared" si="19"/>
        <v>51554.209932990976</v>
      </c>
      <c r="W20" s="14">
        <f t="shared" si="20"/>
        <v>69107.520017414179</v>
      </c>
      <c r="X20" s="14">
        <f t="shared" si="21"/>
        <v>12056.352121766224</v>
      </c>
      <c r="Y20" s="15">
        <f t="shared" si="22"/>
        <v>1.9193282706746502</v>
      </c>
      <c r="Z20" s="14">
        <f t="shared" si="23"/>
        <v>35451.245178967802</v>
      </c>
      <c r="AA20" s="13">
        <f t="shared" si="24"/>
        <v>7.4885686101228846</v>
      </c>
      <c r="AC20">
        <f t="shared" si="25"/>
        <v>5503.8776040436687</v>
      </c>
      <c r="AD20">
        <f t="shared" si="26"/>
        <v>7.3443659938305457</v>
      </c>
    </row>
    <row r="21" spans="1:30" ht="12" customHeight="1">
      <c r="B21" s="8">
        <f t="shared" si="27"/>
        <v>229.60699757409691</v>
      </c>
      <c r="C21">
        <f t="shared" si="0"/>
        <v>826.58519126674889</v>
      </c>
      <c r="D21">
        <f t="shared" si="1"/>
        <v>17198.41736103961</v>
      </c>
      <c r="E21">
        <f t="shared" si="2"/>
        <v>0.38026754803702878</v>
      </c>
      <c r="F21">
        <f t="shared" si="3"/>
        <v>2.5353913619511531E-2</v>
      </c>
      <c r="G21" s="7">
        <f t="shared" si="4"/>
        <v>24002.597513620502</v>
      </c>
      <c r="H21" s="8">
        <f t="shared" si="5"/>
        <v>14.998376729673303</v>
      </c>
      <c r="I21" s="7">
        <f t="shared" si="6"/>
        <v>24002.597513620502</v>
      </c>
      <c r="J21" s="7">
        <f t="shared" si="7"/>
        <v>54064.522264493309</v>
      </c>
      <c r="K21" s="7">
        <f t="shared" si="8"/>
        <v>72472.549952403904</v>
      </c>
      <c r="L21" s="10">
        <f t="shared" si="9"/>
        <v>0.72649855814784581</v>
      </c>
      <c r="M21">
        <f t="shared" si="10"/>
        <v>35336.628233308285</v>
      </c>
      <c r="N21">
        <f t="shared" si="11"/>
        <v>0.33977527147411812</v>
      </c>
      <c r="O21">
        <f t="shared" si="12"/>
        <v>106694.10064201316</v>
      </c>
      <c r="P21" s="7">
        <f t="shared" si="13"/>
        <v>11334.030719687784</v>
      </c>
      <c r="Q21" s="8">
        <f t="shared" si="14"/>
        <v>1.8042980450402799</v>
      </c>
      <c r="R21" s="7">
        <f t="shared" si="15"/>
        <v>34221.550689609256</v>
      </c>
      <c r="S21">
        <f t="shared" si="16"/>
        <v>7.2288132332224784</v>
      </c>
      <c r="T21" s="13">
        <f t="shared" si="17"/>
        <v>2.5353913619511535E-2</v>
      </c>
      <c r="U21" s="13">
        <f t="shared" si="18"/>
        <v>24002.597513620502</v>
      </c>
      <c r="V21" s="14">
        <f t="shared" si="19"/>
        <v>54064.522264493309</v>
      </c>
      <c r="W21" s="14">
        <f t="shared" si="20"/>
        <v>72472.549952403904</v>
      </c>
      <c r="X21" s="14">
        <f t="shared" si="21"/>
        <v>11334.030719687784</v>
      </c>
      <c r="Y21" s="15">
        <f t="shared" si="22"/>
        <v>1.8042980450402799</v>
      </c>
      <c r="Z21" s="14">
        <f t="shared" si="23"/>
        <v>34221.550689609256</v>
      </c>
      <c r="AA21" s="13">
        <f t="shared" si="24"/>
        <v>7.2288132332224784</v>
      </c>
      <c r="AC21">
        <f t="shared" si="25"/>
        <v>5533.7558242882078</v>
      </c>
      <c r="AD21">
        <f t="shared" si="26"/>
        <v>7.1912735016749645</v>
      </c>
    </row>
    <row r="22" spans="1:30" ht="12" customHeight="1">
      <c r="B22" s="8">
        <f t="shared" si="27"/>
        <v>235.60699757409691</v>
      </c>
      <c r="C22">
        <f t="shared" si="0"/>
        <v>848.18519126674892</v>
      </c>
      <c r="D22">
        <f t="shared" si="1"/>
        <v>18109.006081423147</v>
      </c>
      <c r="E22">
        <f t="shared" si="2"/>
        <v>0.36114627001583266</v>
      </c>
      <c r="F22">
        <f t="shared" si="3"/>
        <v>2.4632942965947209E-2</v>
      </c>
      <c r="G22" s="7">
        <f t="shared" si="4"/>
        <v>24554.758567358946</v>
      </c>
      <c r="H22" s="8">
        <f t="shared" si="5"/>
        <v>14.661109332940216</v>
      </c>
      <c r="I22" s="7">
        <f t="shared" si="6"/>
        <v>24554.758567358949</v>
      </c>
      <c r="J22" s="7">
        <f t="shared" si="7"/>
        <v>56753.52756310242</v>
      </c>
      <c r="K22" s="7">
        <f t="shared" si="8"/>
        <v>76077.114695847747</v>
      </c>
      <c r="L22" s="10">
        <f t="shared" si="9"/>
        <v>0.74548313350897066</v>
      </c>
      <c r="M22">
        <f t="shared" si="10"/>
        <v>35119.67603050419</v>
      </c>
      <c r="N22">
        <f t="shared" si="11"/>
        <v>0.33768919260100183</v>
      </c>
      <c r="O22">
        <f t="shared" si="12"/>
        <v>108810.01391743902</v>
      </c>
      <c r="P22" s="7">
        <f t="shared" si="13"/>
        <v>10564.917463145244</v>
      </c>
      <c r="Q22" s="8">
        <f t="shared" si="14"/>
        <v>1.6818241658736508</v>
      </c>
      <c r="R22" s="7">
        <f t="shared" si="15"/>
        <v>32732.899221591273</v>
      </c>
      <c r="S22">
        <f t="shared" si="16"/>
        <v>6.9143568975272087</v>
      </c>
      <c r="T22" s="13">
        <f t="shared" si="17"/>
        <v>2.4632942965947213E-2</v>
      </c>
      <c r="U22" s="13">
        <f t="shared" si="18"/>
        <v>24554.758567358949</v>
      </c>
      <c r="V22" s="14">
        <f t="shared" si="19"/>
        <v>56753.527563102427</v>
      </c>
      <c r="W22" s="14">
        <f t="shared" si="20"/>
        <v>76077.114695847762</v>
      </c>
      <c r="X22" s="14">
        <f t="shared" si="21"/>
        <v>10564.917463145241</v>
      </c>
      <c r="Y22" s="15">
        <f t="shared" si="22"/>
        <v>1.6818241658736504</v>
      </c>
      <c r="Z22" s="14">
        <f t="shared" si="23"/>
        <v>32732.899221591259</v>
      </c>
      <c r="AA22" s="13">
        <f t="shared" si="24"/>
        <v>6.9143568975272052</v>
      </c>
      <c r="AC22">
        <f t="shared" si="25"/>
        <v>5550.672856776805</v>
      </c>
      <c r="AD22">
        <f t="shared" si="26"/>
        <v>7.0295638622373122</v>
      </c>
    </row>
    <row r="23" spans="1:30" ht="12" customHeight="1">
      <c r="B23" s="8">
        <f t="shared" si="27"/>
        <v>241.60699757409691</v>
      </c>
      <c r="C23">
        <f t="shared" si="0"/>
        <v>869.78519126674894</v>
      </c>
      <c r="D23">
        <f t="shared" si="1"/>
        <v>19043.083056155356</v>
      </c>
      <c r="E23">
        <f t="shared" si="2"/>
        <v>0.34343178469129526</v>
      </c>
      <c r="F23">
        <f t="shared" si="3"/>
        <v>2.3998200365744515E-2</v>
      </c>
      <c r="G23" s="7">
        <f t="shared" si="4"/>
        <v>25155.948042007192</v>
      </c>
      <c r="H23" s="8">
        <f t="shared" si="5"/>
        <v>14.310730782192996</v>
      </c>
      <c r="I23" s="7">
        <f t="shared" si="6"/>
        <v>25155.948042007196</v>
      </c>
      <c r="J23" s="7">
        <f t="shared" si="7"/>
        <v>59623.738690857121</v>
      </c>
      <c r="K23" s="7">
        <f t="shared" si="8"/>
        <v>79924.582695518926</v>
      </c>
      <c r="L23" s="10">
        <f t="shared" si="9"/>
        <v>0.76446770887009563</v>
      </c>
      <c r="M23">
        <f t="shared" si="10"/>
        <v>34907.761551847208</v>
      </c>
      <c r="N23">
        <f t="shared" si="11"/>
        <v>0.33565155338314623</v>
      </c>
      <c r="O23">
        <f t="shared" si="12"/>
        <v>110907.69746412052</v>
      </c>
      <c r="P23" s="7">
        <f t="shared" si="13"/>
        <v>9751.8135098400162</v>
      </c>
      <c r="Q23" s="8">
        <f t="shared" si="14"/>
        <v>1.5523535374218849</v>
      </c>
      <c r="R23" s="7">
        <f t="shared" si="15"/>
        <v>30983.11476860159</v>
      </c>
      <c r="S23">
        <f t="shared" si="16"/>
        <v>6.5447399528193415</v>
      </c>
      <c r="T23" s="13">
        <f t="shared" si="17"/>
        <v>2.3998200365744526E-2</v>
      </c>
      <c r="U23" s="13">
        <f t="shared" si="18"/>
        <v>25155.948042007196</v>
      </c>
      <c r="V23" s="14">
        <f t="shared" si="19"/>
        <v>59623.738690857135</v>
      </c>
      <c r="W23" s="14">
        <f t="shared" si="20"/>
        <v>79924.582695518955</v>
      </c>
      <c r="X23" s="14">
        <f t="shared" si="21"/>
        <v>9751.8135098400126</v>
      </c>
      <c r="Y23" s="15">
        <f t="shared" si="22"/>
        <v>1.5523535374218842</v>
      </c>
      <c r="Z23" s="14">
        <f t="shared" si="23"/>
        <v>30983.114768601561</v>
      </c>
      <c r="AA23" s="13">
        <f t="shared" si="24"/>
        <v>6.5447399528193353</v>
      </c>
      <c r="AC23">
        <f t="shared" si="25"/>
        <v>5555.9961304840945</v>
      </c>
      <c r="AD23">
        <f t="shared" si="26"/>
        <v>6.8615678162012905</v>
      </c>
    </row>
    <row r="24" spans="1:30" ht="12" customHeight="1">
      <c r="B24" s="8">
        <f t="shared" si="27"/>
        <v>247.60699757409691</v>
      </c>
      <c r="C24">
        <f t="shared" si="0"/>
        <v>891.38519126674885</v>
      </c>
      <c r="D24">
        <f t="shared" si="1"/>
        <v>20000.648285236239</v>
      </c>
      <c r="E24">
        <f t="shared" si="2"/>
        <v>0.32698940087995015</v>
      </c>
      <c r="F24">
        <f t="shared" si="3"/>
        <v>2.3437601122916207E-2</v>
      </c>
      <c r="G24" s="7">
        <f t="shared" si="4"/>
        <v>25803.700002336052</v>
      </c>
      <c r="H24" s="8">
        <f t="shared" si="5"/>
        <v>13.951487576099884</v>
      </c>
      <c r="I24" s="7">
        <f t="shared" si="6"/>
        <v>25803.700002336052</v>
      </c>
      <c r="J24" s="7">
        <f t="shared" si="7"/>
        <v>62677.823268874061</v>
      </c>
      <c r="K24" s="7">
        <f t="shared" si="8"/>
        <v>84018.529851037616</v>
      </c>
      <c r="L24" s="10">
        <f t="shared" si="9"/>
        <v>0.7834522842312206</v>
      </c>
      <c r="M24">
        <f t="shared" si="10"/>
        <v>34700.884797337341</v>
      </c>
      <c r="N24">
        <f t="shared" si="11"/>
        <v>0.33366235382055137</v>
      </c>
      <c r="O24">
        <f t="shared" si="12"/>
        <v>112988.34372351864</v>
      </c>
      <c r="P24" s="7">
        <f t="shared" si="13"/>
        <v>8897.1847950012889</v>
      </c>
      <c r="Q24" s="8">
        <f t="shared" si="14"/>
        <v>1.4162794491406516</v>
      </c>
      <c r="R24" s="7">
        <f t="shared" si="15"/>
        <v>28969.813872481027</v>
      </c>
      <c r="S24">
        <f t="shared" si="16"/>
        <v>6.1194589276449332</v>
      </c>
      <c r="T24" s="13">
        <f t="shared" si="17"/>
        <v>2.3437601122916211E-2</v>
      </c>
      <c r="U24" s="13">
        <f t="shared" si="18"/>
        <v>25803.700002336052</v>
      </c>
      <c r="V24" s="14">
        <f t="shared" si="19"/>
        <v>62677.823268874061</v>
      </c>
      <c r="W24" s="14">
        <f t="shared" si="20"/>
        <v>84018.529851037616</v>
      </c>
      <c r="X24" s="14">
        <f t="shared" si="21"/>
        <v>8897.1847950012889</v>
      </c>
      <c r="Y24" s="15">
        <f t="shared" si="22"/>
        <v>1.4162794491406516</v>
      </c>
      <c r="Z24" s="14">
        <f t="shared" si="23"/>
        <v>28969.813872481027</v>
      </c>
      <c r="AA24" s="13">
        <f t="shared" si="24"/>
        <v>6.1194589276449332</v>
      </c>
      <c r="AC24">
        <f t="shared" si="25"/>
        <v>5551.0360166405344</v>
      </c>
      <c r="AD24">
        <f t="shared" si="26"/>
        <v>6.6893214327961452</v>
      </c>
    </row>
    <row r="25" spans="1:30" ht="12" customHeight="1">
      <c r="B25" s="8">
        <f t="shared" si="27"/>
        <v>253.60699757409691</v>
      </c>
      <c r="C25">
        <f t="shared" si="0"/>
        <v>912.98519126674887</v>
      </c>
      <c r="D25">
        <f t="shared" si="1"/>
        <v>20981.701768665789</v>
      </c>
      <c r="E25">
        <f t="shared" si="2"/>
        <v>0.31170016961002084</v>
      </c>
      <c r="F25">
        <f t="shared" si="3"/>
        <v>2.2940991112191958E-2</v>
      </c>
      <c r="G25" s="7">
        <f t="shared" si="4"/>
        <v>26495.836722584812</v>
      </c>
      <c r="H25" s="8">
        <f t="shared" si="5"/>
        <v>13.587040249728714</v>
      </c>
      <c r="I25" s="7">
        <f t="shared" si="6"/>
        <v>26495.836722584812</v>
      </c>
      <c r="J25" s="7">
        <f t="shared" si="7"/>
        <v>65918.585370390982</v>
      </c>
      <c r="K25" s="7">
        <f t="shared" si="8"/>
        <v>88362.71497371445</v>
      </c>
      <c r="L25" s="10">
        <f t="shared" si="9"/>
        <v>0.80243685959234556</v>
      </c>
      <c r="M25">
        <f t="shared" si="10"/>
        <v>34499.045766974588</v>
      </c>
      <c r="N25">
        <f t="shared" si="11"/>
        <v>0.33172159391321721</v>
      </c>
      <c r="O25">
        <f t="shared" si="12"/>
        <v>115053.14513709438</v>
      </c>
      <c r="P25" s="7">
        <f t="shared" si="13"/>
        <v>8003.209044389776</v>
      </c>
      <c r="Q25" s="8">
        <f t="shared" si="14"/>
        <v>1.2739490568395417</v>
      </c>
      <c r="R25" s="7">
        <f t="shared" si="15"/>
        <v>26690.430163379933</v>
      </c>
      <c r="S25">
        <f t="shared" si="16"/>
        <v>5.6379717130709679</v>
      </c>
      <c r="T25" s="13">
        <f t="shared" si="17"/>
        <v>2.2940991112191954E-2</v>
      </c>
      <c r="U25" s="13">
        <f t="shared" si="18"/>
        <v>26495.836722584812</v>
      </c>
      <c r="V25" s="14">
        <f t="shared" si="19"/>
        <v>65918.585370390982</v>
      </c>
      <c r="W25" s="14">
        <f t="shared" si="20"/>
        <v>88362.71497371445</v>
      </c>
      <c r="X25" s="14">
        <f t="shared" si="21"/>
        <v>8003.209044389776</v>
      </c>
      <c r="Y25" s="15">
        <f t="shared" si="22"/>
        <v>1.2739490568395417</v>
      </c>
      <c r="Z25" s="14">
        <f t="shared" si="23"/>
        <v>26690.430163379933</v>
      </c>
      <c r="AA25" s="13">
        <f t="shared" si="24"/>
        <v>5.6379717130709679</v>
      </c>
      <c r="AC25">
        <f t="shared" si="25"/>
        <v>5537.0278624190842</v>
      </c>
      <c r="AD25">
        <f t="shared" si="26"/>
        <v>6.5145798292128649</v>
      </c>
    </row>
    <row r="26" spans="1:30" ht="12" customHeight="1">
      <c r="B26" s="8">
        <f t="shared" si="27"/>
        <v>259.60699757409691</v>
      </c>
      <c r="C26">
        <f t="shared" si="0"/>
        <v>934.58519126674889</v>
      </c>
      <c r="D26">
        <f t="shared" si="1"/>
        <v>21986.243506444014</v>
      </c>
      <c r="E26">
        <f t="shared" si="2"/>
        <v>0.29745872677536622</v>
      </c>
      <c r="F26">
        <f t="shared" si="3"/>
        <v>2.2499802211923773E-2</v>
      </c>
      <c r="G26" s="7">
        <f t="shared" si="4"/>
        <v>27230.429189624789</v>
      </c>
      <c r="H26" s="8">
        <f t="shared" si="5"/>
        <v>13.220504072597045</v>
      </c>
      <c r="I26" s="7">
        <f t="shared" si="6"/>
        <v>27230.429189624792</v>
      </c>
      <c r="J26" s="7">
        <f t="shared" si="7"/>
        <v>69348.949752456625</v>
      </c>
      <c r="K26" s="7">
        <f t="shared" si="8"/>
        <v>92961.058649405662</v>
      </c>
      <c r="L26" s="10">
        <f t="shared" si="9"/>
        <v>0.82142143495347053</v>
      </c>
      <c r="M26">
        <f t="shared" si="10"/>
        <v>34302.24446075895</v>
      </c>
      <c r="N26">
        <f t="shared" si="11"/>
        <v>0.32982927366114373</v>
      </c>
      <c r="O26">
        <f t="shared" si="12"/>
        <v>117103.29414630875</v>
      </c>
      <c r="P26" s="7">
        <f t="shared" si="13"/>
        <v>7071.8152711341609</v>
      </c>
      <c r="Q26" s="8">
        <f t="shared" si="14"/>
        <v>1.1256696682318237</v>
      </c>
      <c r="R26" s="7">
        <f t="shared" si="15"/>
        <v>24142.235496903086</v>
      </c>
      <c r="S26">
        <f t="shared" si="16"/>
        <v>5.0997020276049678</v>
      </c>
      <c r="T26" s="13">
        <f t="shared" si="17"/>
        <v>2.2499802211923773E-2</v>
      </c>
      <c r="U26" s="13">
        <f t="shared" si="18"/>
        <v>27230.429189624792</v>
      </c>
      <c r="V26" s="14">
        <f t="shared" si="19"/>
        <v>69348.949752456625</v>
      </c>
      <c r="W26" s="14">
        <f t="shared" si="20"/>
        <v>92961.058649405662</v>
      </c>
      <c r="X26" s="14">
        <f t="shared" si="21"/>
        <v>7071.8152711341572</v>
      </c>
      <c r="Y26" s="15">
        <f t="shared" si="22"/>
        <v>1.125669668231823</v>
      </c>
      <c r="Z26" s="14">
        <f t="shared" si="23"/>
        <v>24142.235496903086</v>
      </c>
      <c r="AA26" s="13">
        <f t="shared" si="24"/>
        <v>5.0997020276049678</v>
      </c>
      <c r="AC26">
        <f t="shared" si="25"/>
        <v>5515.1207210418588</v>
      </c>
      <c r="AD26">
        <f t="shared" si="26"/>
        <v>6.338836684103212</v>
      </c>
    </row>
    <row r="27" spans="1:30" ht="12" customHeight="1">
      <c r="B27" s="8">
        <f t="shared" si="27"/>
        <v>265.60699757409691</v>
      </c>
      <c r="C27">
        <f t="shared" si="0"/>
        <v>956.18519126674892</v>
      </c>
      <c r="D27">
        <f t="shared" si="1"/>
        <v>23014.27349857091</v>
      </c>
      <c r="E27">
        <f t="shared" si="2"/>
        <v>0.28417147299505707</v>
      </c>
      <c r="F27">
        <f t="shared" si="3"/>
        <v>2.2106775404529874E-2</v>
      </c>
      <c r="G27" s="7">
        <f t="shared" si="4"/>
        <v>28005.763779706293</v>
      </c>
      <c r="H27" s="8">
        <f t="shared" si="5"/>
        <v>12.854496768299724</v>
      </c>
      <c r="I27" s="7">
        <f t="shared" si="6"/>
        <v>28005.763779706293</v>
      </c>
      <c r="J27" s="7">
        <f t="shared" si="7"/>
        <v>72971.948224835331</v>
      </c>
      <c r="K27" s="7">
        <f t="shared" si="8"/>
        <v>97817.624966267205</v>
      </c>
      <c r="L27" s="10">
        <f t="shared" si="9"/>
        <v>0.84040601031459539</v>
      </c>
      <c r="M27">
        <f t="shared" si="10"/>
        <v>34110.480878690425</v>
      </c>
      <c r="N27">
        <f t="shared" si="11"/>
        <v>0.327985393064331</v>
      </c>
      <c r="O27">
        <f t="shared" si="12"/>
        <v>119139.98319262268</v>
      </c>
      <c r="P27" s="7">
        <f t="shared" si="13"/>
        <v>6104.7170989841325</v>
      </c>
      <c r="Q27" s="8">
        <f t="shared" si="14"/>
        <v>0.97171404614204926</v>
      </c>
      <c r="R27" s="7">
        <f t="shared" si="15"/>
        <v>21322.358226355471</v>
      </c>
      <c r="S27">
        <f t="shared" si="16"/>
        <v>4.5040432769456284</v>
      </c>
      <c r="T27" s="13">
        <f t="shared" si="17"/>
        <v>2.4938565591731889E-2</v>
      </c>
      <c r="U27" s="13">
        <f t="shared" si="18"/>
        <v>31593.190964596375</v>
      </c>
      <c r="V27" s="14">
        <f t="shared" si="19"/>
        <v>82319.365165695912</v>
      </c>
      <c r="W27" s="14">
        <f t="shared" si="20"/>
        <v>110347.67448484707</v>
      </c>
      <c r="X27" s="14">
        <f t="shared" si="21"/>
        <v>2517.2899140940499</v>
      </c>
      <c r="Y27" s="15">
        <f t="shared" si="22"/>
        <v>0.4006719098249677</v>
      </c>
      <c r="Z27" s="14">
        <f t="shared" si="23"/>
        <v>8792.3087077756063</v>
      </c>
      <c r="AA27" s="13">
        <f t="shared" si="24"/>
        <v>1.8572494891835436</v>
      </c>
      <c r="AC27">
        <f t="shared" si="25"/>
        <v>4863.3904227733219</v>
      </c>
      <c r="AD27">
        <f t="shared" si="26"/>
        <v>5.4634950823579693</v>
      </c>
    </row>
    <row r="28" spans="1:30" ht="12" customHeight="1">
      <c r="B28" s="8">
        <f t="shared" si="27"/>
        <v>271.60699757409691</v>
      </c>
      <c r="C28">
        <f t="shared" si="0"/>
        <v>977.78519126674894</v>
      </c>
      <c r="D28">
        <f t="shared" si="1"/>
        <v>24065.791745046477</v>
      </c>
      <c r="E28">
        <f t="shared" si="2"/>
        <v>0.27175503175980675</v>
      </c>
      <c r="F28">
        <f t="shared" si="3"/>
        <v>2.1755737096048389E-2</v>
      </c>
      <c r="G28" s="7">
        <f t="shared" si="4"/>
        <v>28820.314030099962</v>
      </c>
      <c r="H28" s="8">
        <f t="shared" si="5"/>
        <v>12.491189361226795</v>
      </c>
      <c r="I28" s="7">
        <f t="shared" si="6"/>
        <v>28820.314030099966</v>
      </c>
      <c r="J28" s="7">
        <f t="shared" si="7"/>
        <v>76790.707825637684</v>
      </c>
      <c r="K28" s="7">
        <f t="shared" si="8"/>
        <v>102936.60566439368</v>
      </c>
      <c r="L28" s="10">
        <f t="shared" si="9"/>
        <v>0.85939058567572035</v>
      </c>
      <c r="M28">
        <f t="shared" si="10"/>
        <v>33923.755020769015</v>
      </c>
      <c r="N28">
        <f t="shared" si="11"/>
        <v>0.32618995212277901</v>
      </c>
      <c r="O28">
        <f t="shared" si="12"/>
        <v>121164.40471749722</v>
      </c>
      <c r="P28" s="7">
        <f t="shared" si="13"/>
        <v>5103.4409906690526</v>
      </c>
      <c r="Q28" s="8">
        <f t="shared" si="14"/>
        <v>0.81232490075783426</v>
      </c>
      <c r="R28" s="7">
        <f t="shared" si="15"/>
        <v>18227.799053103547</v>
      </c>
      <c r="S28">
        <f t="shared" si="16"/>
        <v>3.8503619021449897</v>
      </c>
      <c r="T28" s="13">
        <f t="shared" si="17"/>
        <v>2.9381555288813459E-2</v>
      </c>
      <c r="U28" s="13">
        <f t="shared" si="18"/>
        <v>38922.406828962587</v>
      </c>
      <c r="V28" s="14">
        <f t="shared" si="19"/>
        <v>103707.37694085785</v>
      </c>
      <c r="W28" s="14">
        <f t="shared" si="20"/>
        <v>139017.93155610972</v>
      </c>
      <c r="X28" s="14">
        <f t="shared" si="21"/>
        <v>-4998.6518081935719</v>
      </c>
      <c r="Y28" s="15">
        <f t="shared" si="22"/>
        <v>-0.79564431386969448</v>
      </c>
      <c r="Z28" s="14">
        <f t="shared" si="23"/>
        <v>-17853.526838612495</v>
      </c>
      <c r="AA28" s="13">
        <f t="shared" si="24"/>
        <v>-3.7713022487271837</v>
      </c>
      <c r="AC28">
        <f t="shared" si="25"/>
        <v>4036.7735003647099</v>
      </c>
      <c r="AD28">
        <f t="shared" si="26"/>
        <v>4.4347011794406335</v>
      </c>
    </row>
    <row r="29" spans="1:30" ht="12" customHeight="1">
      <c r="B29" s="8">
        <f t="shared" si="27"/>
        <v>277.60699757409691</v>
      </c>
      <c r="C29">
        <f t="shared" si="0"/>
        <v>999.38519126674885</v>
      </c>
      <c r="D29">
        <f t="shared" si="1"/>
        <v>25140.798245870716</v>
      </c>
      <c r="E29">
        <f t="shared" si="2"/>
        <v>0.26013493828001943</v>
      </c>
      <c r="F29">
        <f t="shared" si="3"/>
        <v>2.1441417528611791E-2</v>
      </c>
      <c r="G29" s="7">
        <f t="shared" si="4"/>
        <v>29672.716634438802</v>
      </c>
      <c r="H29" s="8">
        <f t="shared" si="5"/>
        <v>12.132357290878318</v>
      </c>
      <c r="I29" s="7">
        <f t="shared" si="6"/>
        <v>29672.716634438806</v>
      </c>
      <c r="J29" s="7">
        <f t="shared" si="7"/>
        <v>80808.440530332009</v>
      </c>
      <c r="K29" s="7">
        <f t="shared" si="8"/>
        <v>108322.30634092762</v>
      </c>
      <c r="L29" s="10">
        <f t="shared" si="9"/>
        <v>0.87837516103684532</v>
      </c>
      <c r="M29">
        <f t="shared" si="10"/>
        <v>33742.066886994719</v>
      </c>
      <c r="N29">
        <f t="shared" si="11"/>
        <v>0.32444295083648766</v>
      </c>
      <c r="O29">
        <f t="shared" si="12"/>
        <v>123177.75116239332</v>
      </c>
      <c r="P29" s="7">
        <f t="shared" si="13"/>
        <v>4069.3502525559161</v>
      </c>
      <c r="Q29" s="8">
        <f t="shared" si="14"/>
        <v>0.64771870938381071</v>
      </c>
      <c r="R29" s="7">
        <f t="shared" si="15"/>
        <v>14855.444821465702</v>
      </c>
      <c r="S29">
        <f t="shared" si="16"/>
        <v>3.1380002935817801</v>
      </c>
      <c r="T29" s="13">
        <f t="shared" si="17"/>
        <v>3.3421286151888434E-2</v>
      </c>
      <c r="U29" s="13">
        <f t="shared" si="18"/>
        <v>46251.622693328798</v>
      </c>
      <c r="V29" s="14">
        <f t="shared" si="19"/>
        <v>125958.184007573</v>
      </c>
      <c r="W29" s="14">
        <f t="shared" si="20"/>
        <v>168844.75068039275</v>
      </c>
      <c r="X29" s="14">
        <f t="shared" si="21"/>
        <v>-12509.55580633408</v>
      </c>
      <c r="Y29" s="15">
        <f t="shared" si="22"/>
        <v>-1.9915052190825671</v>
      </c>
      <c r="Z29" s="14">
        <f t="shared" si="23"/>
        <v>-45666.999517999429</v>
      </c>
      <c r="AA29" s="13">
        <f t="shared" si="24"/>
        <v>-9.6465006343944886</v>
      </c>
      <c r="AC29">
        <f t="shared" si="25"/>
        <v>3472.1345803990093</v>
      </c>
      <c r="AD29">
        <f t="shared" si="26"/>
        <v>3.7319608139059981</v>
      </c>
    </row>
    <row r="30" spans="1:30" ht="12" customHeight="1" thickBot="1">
      <c r="B30" s="8">
        <f t="shared" si="27"/>
        <v>283.60699757409691</v>
      </c>
      <c r="C30">
        <f t="shared" si="0"/>
        <v>1020.9851912667489</v>
      </c>
      <c r="D30">
        <f t="shared" si="1"/>
        <v>26239.293001043625</v>
      </c>
      <c r="E30">
        <f t="shared" si="2"/>
        <v>0.24924452041218803</v>
      </c>
      <c r="F30">
        <f t="shared" si="3"/>
        <v>2.1159302665685734E-2</v>
      </c>
      <c r="G30" s="7">
        <f t="shared" si="4"/>
        <v>30561.750954643561</v>
      </c>
      <c r="H30" s="8">
        <f t="shared" si="5"/>
        <v>11.779429802116802</v>
      </c>
      <c r="I30" s="7">
        <f t="shared" si="6"/>
        <v>30561.750954643561</v>
      </c>
      <c r="J30" s="7">
        <f t="shared" si="7"/>
        <v>85028.434267055287</v>
      </c>
      <c r="K30" s="7">
        <f t="shared" si="8"/>
        <v>113979.13440624034</v>
      </c>
      <c r="L30" s="10">
        <f t="shared" si="9"/>
        <v>0.89735973639797029</v>
      </c>
      <c r="M30">
        <f t="shared" si="10"/>
        <v>33565.416477367537</v>
      </c>
      <c r="N30">
        <f t="shared" si="11"/>
        <v>0.32274438920545706</v>
      </c>
      <c r="O30">
        <f t="shared" si="12"/>
        <v>125181.21496877199</v>
      </c>
      <c r="P30" s="7">
        <f t="shared" si="13"/>
        <v>3003.6655227239753</v>
      </c>
      <c r="Q30" s="8">
        <f t="shared" si="14"/>
        <v>0.47808897611042284</v>
      </c>
      <c r="R30" s="7">
        <f>$O30-$K30</f>
        <v>11202.080562531657</v>
      </c>
      <c r="S30">
        <f t="shared" si="16"/>
        <v>2.366279335046046</v>
      </c>
      <c r="T30" s="13">
        <f t="shared" si="17"/>
        <v>3.709647335998769E-2</v>
      </c>
      <c r="U30" s="13">
        <f t="shared" si="18"/>
        <v>53580.838557695017</v>
      </c>
      <c r="V30" s="14">
        <f t="shared" si="19"/>
        <v>149071.78636584134</v>
      </c>
      <c r="W30" s="14">
        <f t="shared" si="20"/>
        <v>199828.13185769616</v>
      </c>
      <c r="X30" s="14">
        <f t="shared" si="21"/>
        <v>-20015.42208032748</v>
      </c>
      <c r="Y30" s="15">
        <f t="shared" si="22"/>
        <v>-3.1874316099301923</v>
      </c>
      <c r="Z30" s="14">
        <f t="shared" si="23"/>
        <v>-74646.91688892417</v>
      </c>
      <c r="AA30" s="13">
        <f t="shared" si="24"/>
        <v>-15.768093781611007</v>
      </c>
      <c r="AC30">
        <f t="shared" si="25"/>
        <v>3061.9673201254241</v>
      </c>
      <c r="AD30">
        <f t="shared" si="26"/>
        <v>3.2214733497536723</v>
      </c>
    </row>
    <row r="31" spans="1:30" s="6" customFormat="1" ht="13.5" thickBot="1">
      <c r="A31" s="5"/>
      <c r="B31" s="6" t="s">
        <v>31</v>
      </c>
      <c r="D31" s="6" t="s">
        <v>32</v>
      </c>
      <c r="G31" s="6" t="s">
        <v>33</v>
      </c>
      <c r="J31" s="6" t="s">
        <v>34</v>
      </c>
      <c r="O31" s="6" t="s">
        <v>35</v>
      </c>
    </row>
    <row r="32" spans="1:30" s="1" customFormat="1" ht="23.85" customHeight="1">
      <c r="A32" s="1" t="s">
        <v>3</v>
      </c>
      <c r="B32" s="1" t="s">
        <v>4</v>
      </c>
      <c r="D32" s="1" t="s">
        <v>8</v>
      </c>
      <c r="E32" s="1" t="s">
        <v>96</v>
      </c>
      <c r="G32" s="1" t="s">
        <v>71</v>
      </c>
      <c r="J32" s="1" t="s">
        <v>13</v>
      </c>
      <c r="K32" s="1" t="s">
        <v>14</v>
      </c>
      <c r="L32" s="1" t="s">
        <v>15</v>
      </c>
      <c r="M32" s="11" t="str">
        <f>SL!M32</f>
        <v>MDD</v>
      </c>
      <c r="N32" s="11"/>
      <c r="O32" s="1" t="s">
        <v>58</v>
      </c>
      <c r="P32" s="1" t="s">
        <v>16</v>
      </c>
      <c r="Q32" s="1" t="s">
        <v>70</v>
      </c>
      <c r="R32" s="1" t="s">
        <v>60</v>
      </c>
      <c r="S32" s="1" t="s">
        <v>94</v>
      </c>
    </row>
    <row r="33" spans="1:20">
      <c r="A33">
        <f>SL!A33</f>
        <v>540</v>
      </c>
      <c r="B33">
        <f>SL!B33</f>
        <v>65</v>
      </c>
      <c r="D33">
        <f>SL!D33</f>
        <v>360000</v>
      </c>
      <c r="E33">
        <f>SL!$E$33</f>
        <v>90000</v>
      </c>
      <c r="G33">
        <v>20000</v>
      </c>
      <c r="J33">
        <f>SL!J33</f>
        <v>1.7999999999999999E-2</v>
      </c>
      <c r="K33">
        <f>SL!K33</f>
        <v>0.8</v>
      </c>
      <c r="L33">
        <f>SL!L33</f>
        <v>1.5</v>
      </c>
      <c r="M33">
        <f>SL!M33</f>
        <v>0.83</v>
      </c>
      <c r="O33">
        <f>SL!O33</f>
        <v>26000</v>
      </c>
      <c r="P33">
        <f>SL!P33</f>
        <v>4</v>
      </c>
      <c r="Q33">
        <f>SL!Q33</f>
        <v>1</v>
      </c>
      <c r="R33">
        <f>SL!R33</f>
        <v>0.8</v>
      </c>
      <c r="S33">
        <f>SL!$S$33</f>
        <v>0.6</v>
      </c>
    </row>
    <row r="34" spans="1:20" s="3" customFormat="1" ht="20.85" customHeight="1">
      <c r="A34" s="3" t="s">
        <v>5</v>
      </c>
      <c r="D34" s="3" t="s">
        <v>9</v>
      </c>
      <c r="E34" s="3" t="s">
        <v>10</v>
      </c>
      <c r="F34" s="3" t="s">
        <v>72</v>
      </c>
      <c r="G34" s="3" t="s">
        <v>6</v>
      </c>
      <c r="H34" s="3" t="s">
        <v>7</v>
      </c>
      <c r="J34" s="3" t="s">
        <v>30</v>
      </c>
      <c r="O34" s="3" t="s">
        <v>59</v>
      </c>
      <c r="Q34" s="3" t="s">
        <v>61</v>
      </c>
      <c r="R34" s="3" t="s">
        <v>62</v>
      </c>
      <c r="T34" s="3" t="s">
        <v>103</v>
      </c>
    </row>
    <row r="35" spans="1:20">
      <c r="A35">
        <f>B33^2/A33</f>
        <v>7.8240740740740744</v>
      </c>
      <c r="D35">
        <f>D33/A33</f>
        <v>666.66666666666663</v>
      </c>
      <c r="E35">
        <f>D35*9.81</f>
        <v>6540</v>
      </c>
      <c r="F35">
        <f>$G$33*0.3048</f>
        <v>6096</v>
      </c>
      <c r="G35">
        <f>288-6.5*$F$35/1000</f>
        <v>248.376</v>
      </c>
      <c r="H35">
        <f>G35/288</f>
        <v>0.86241666666666672</v>
      </c>
      <c r="J35">
        <f>1/(3.1415*$A$35*$K$33)</f>
        <v>5.0855742037073826E-2</v>
      </c>
      <c r="O35">
        <f>$O$33*$P$33</f>
        <v>104000</v>
      </c>
      <c r="Q35">
        <f>$O$35*$Q$33</f>
        <v>104000</v>
      </c>
      <c r="R35">
        <f>$Q$35*$R$33</f>
        <v>83200</v>
      </c>
      <c r="T35">
        <f>R35*G37</f>
        <v>44313.441310872491</v>
      </c>
    </row>
    <row r="36" spans="1:20" s="3" customFormat="1" ht="20.85" customHeight="1">
      <c r="G36" s="3" t="s">
        <v>11</v>
      </c>
      <c r="H36" s="3" t="s">
        <v>12</v>
      </c>
      <c r="J36" s="3" t="s">
        <v>63</v>
      </c>
      <c r="M36" s="3" t="s">
        <v>86</v>
      </c>
    </row>
    <row r="37" spans="1:20">
      <c r="G37">
        <f>$H$35^4.256</f>
        <v>0.53261347729414055</v>
      </c>
      <c r="H37">
        <f>1.225*$G$37</f>
        <v>0.65245150968532217</v>
      </c>
      <c r="J37">
        <f>340.3*(1-2.255*0.00001*$F$35)^0.5</f>
        <v>316.04604716554832</v>
      </c>
      <c r="M37">
        <f>P57</f>
        <v>27575.829794713885</v>
      </c>
    </row>
    <row r="38" spans="1:20" s="4" customFormat="1" ht="20.100000000000001" customHeight="1"/>
    <row r="39" spans="1:20">
      <c r="A39" t="s">
        <v>21</v>
      </c>
      <c r="B39">
        <f>SQRT(3.1415*$A$35*$K$33/(4*$J$33))</f>
        <v>16.525848004364995</v>
      </c>
      <c r="C39" t="s">
        <v>18</v>
      </c>
      <c r="D39">
        <f>$L$33</f>
        <v>1.5</v>
      </c>
      <c r="E39" t="s">
        <v>22</v>
      </c>
      <c r="F39">
        <f>3.6*SQRT((2/$H$37)*($E$35)*(1/$D39))</f>
        <v>416.18519126674892</v>
      </c>
      <c r="H39" t="s">
        <v>36</v>
      </c>
      <c r="I39">
        <f>$J$33+$J$35*$D39^2</f>
        <v>0.13242541958341611</v>
      </c>
      <c r="K39" t="s">
        <v>26</v>
      </c>
      <c r="L39">
        <f>$D39/$I39</f>
        <v>11.327130430990517</v>
      </c>
      <c r="M39" t="s">
        <v>40</v>
      </c>
      <c r="O39">
        <f>$D$33/$L39</f>
        <v>31782.100700019862</v>
      </c>
      <c r="Q39" t="s">
        <v>46</v>
      </c>
      <c r="R39">
        <f>($O39*$F39*9.81/3.6)/746</f>
        <v>48316.659611191542</v>
      </c>
    </row>
    <row r="40" spans="1:20">
      <c r="C40" t="s">
        <v>17</v>
      </c>
      <c r="D40">
        <f>$D$41*SQRT(3)</f>
        <v>1.0304499017419528</v>
      </c>
      <c r="E40" t="s">
        <v>23</v>
      </c>
      <c r="F40">
        <f>3.6*SQRT((2/$H$37)*($E$35)*(1/$D40))</f>
        <v>502.13305492810679</v>
      </c>
      <c r="H40" t="s">
        <v>37</v>
      </c>
      <c r="I40">
        <f>$J$33+$J$35*$D40^2</f>
        <v>7.2000000000000008E-2</v>
      </c>
      <c r="K40" t="s">
        <v>27</v>
      </c>
      <c r="L40">
        <f>$D40/$I40</f>
        <v>14.311804190860455</v>
      </c>
      <c r="M40" t="s">
        <v>41</v>
      </c>
      <c r="O40">
        <f>$D$33/$L40</f>
        <v>25154.061304856077</v>
      </c>
      <c r="Q40" t="s">
        <v>47</v>
      </c>
      <c r="R40">
        <f>($O40*$F40*9.81/3.6)/746</f>
        <v>46137.5581604334</v>
      </c>
    </row>
    <row r="41" spans="1:20">
      <c r="C41" t="s">
        <v>20</v>
      </c>
      <c r="D41">
        <f>SQRT(3.1415*$A$35*$K$33*$J$33)</f>
        <v>0.59493052815713987</v>
      </c>
      <c r="E41" t="s">
        <v>24</v>
      </c>
      <c r="F41">
        <f>3.6*SQRT((2/$H$37)*($E$35)*(1/$D41))</f>
        <v>660.84426463532782</v>
      </c>
      <c r="H41" t="s">
        <v>39</v>
      </c>
      <c r="I41">
        <f>$J$33+$J$35*$D41^2</f>
        <v>3.6000000000000004E-2</v>
      </c>
      <c r="K41" t="s">
        <v>28</v>
      </c>
      <c r="L41">
        <f>$D41/$I41</f>
        <v>16.525848004364995</v>
      </c>
      <c r="M41" t="s">
        <v>42</v>
      </c>
      <c r="O41">
        <f>$D$33/$L41</f>
        <v>21784.056098356508</v>
      </c>
      <c r="Q41" t="s">
        <v>44</v>
      </c>
      <c r="R41">
        <f>($O41*$F41*9.81/3.6)/746</f>
        <v>52585.444708684707</v>
      </c>
    </row>
    <row r="42" spans="1:20">
      <c r="C42" t="s">
        <v>19</v>
      </c>
      <c r="D42">
        <f>$D$41/SQRT(3)</f>
        <v>0.34348330058065096</v>
      </c>
      <c r="E42" t="s">
        <v>25</v>
      </c>
      <c r="F42">
        <f>3.6*SQRT((2/$H$37)*($E$35)*(1/$D42))</f>
        <v>869.71996329525484</v>
      </c>
      <c r="H42" t="s">
        <v>38</v>
      </c>
      <c r="I42">
        <f>$J$33+$J$35*$D42^2</f>
        <v>2.4E-2</v>
      </c>
      <c r="K42" t="s">
        <v>29</v>
      </c>
      <c r="L42">
        <f>$D42/$I42</f>
        <v>14.311804190860457</v>
      </c>
      <c r="M42" t="s">
        <v>43</v>
      </c>
      <c r="O42">
        <f>$D$33/$L42</f>
        <v>25154.061304856074</v>
      </c>
      <c r="Q42" t="s">
        <v>45</v>
      </c>
      <c r="R42">
        <f>($O42*$F42*9.81/3.6)/746</f>
        <v>79912.594871034715</v>
      </c>
    </row>
    <row r="44" spans="1:20">
      <c r="A44" t="s">
        <v>54</v>
      </c>
      <c r="B44" t="s">
        <v>49</v>
      </c>
      <c r="C44" t="s">
        <v>50</v>
      </c>
      <c r="E44" t="s">
        <v>50</v>
      </c>
    </row>
    <row r="45" spans="1:20">
      <c r="A45">
        <v>0.1</v>
      </c>
      <c r="B45">
        <v>0</v>
      </c>
      <c r="C45">
        <f>$J$33+$J$35*$B45^2</f>
        <v>1.7999999999999999E-2</v>
      </c>
      <c r="E45">
        <f>$J$33+$J$35*$B45^2</f>
        <v>1.7999999999999999E-2</v>
      </c>
    </row>
    <row r="46" spans="1:20">
      <c r="B46">
        <f>B45+$A$45</f>
        <v>0.1</v>
      </c>
      <c r="C46">
        <f t="shared" ref="C46:E63" si="28">$J$33+$J$35*$B46^2</f>
        <v>1.8508557420370737E-2</v>
      </c>
      <c r="E46">
        <f t="shared" si="28"/>
        <v>1.8508557420370737E-2</v>
      </c>
      <c r="H46" s="9"/>
    </row>
    <row r="47" spans="1:20">
      <c r="B47">
        <f t="shared" ref="B47:B63" si="29">B46+$A$45</f>
        <v>0.2</v>
      </c>
      <c r="C47">
        <f t="shared" si="28"/>
        <v>2.0034229681482951E-2</v>
      </c>
      <c r="E47">
        <f t="shared" si="28"/>
        <v>2.0034229681482951E-2</v>
      </c>
      <c r="H47" s="9"/>
      <c r="J47" t="s">
        <v>74</v>
      </c>
      <c r="K47">
        <f>$R$35/$D$33</f>
        <v>0.2311111111111111</v>
      </c>
    </row>
    <row r="48" spans="1:20">
      <c r="B48">
        <f t="shared" si="29"/>
        <v>0.30000000000000004</v>
      </c>
      <c r="C48">
        <f t="shared" si="28"/>
        <v>2.2577016783336644E-2</v>
      </c>
      <c r="E48">
        <f t="shared" si="28"/>
        <v>2.2577016783336644E-2</v>
      </c>
      <c r="H48" s="9"/>
      <c r="J48" t="s">
        <v>75</v>
      </c>
      <c r="K48">
        <f>(1+SQRT(1-1/(($K$47^2)*($B$39^2))))</f>
        <v>1.9651146612052111</v>
      </c>
    </row>
    <row r="49" spans="2:17">
      <c r="B49">
        <f t="shared" si="29"/>
        <v>0.4</v>
      </c>
      <c r="C49">
        <f t="shared" si="28"/>
        <v>2.613691872593181E-2</v>
      </c>
      <c r="E49">
        <f t="shared" si="28"/>
        <v>2.613691872593181E-2</v>
      </c>
      <c r="H49" s="9"/>
      <c r="J49" t="s">
        <v>76</v>
      </c>
      <c r="K49">
        <f>SQRT(($K$47*$E$35)*$K$48/($H$37*$J$33))</f>
        <v>502.90142022702463</v>
      </c>
      <c r="L49" t="s">
        <v>77</v>
      </c>
      <c r="O49" t="s">
        <v>78</v>
      </c>
      <c r="P49">
        <f>$K$49*3.6</f>
        <v>1810.4451128172886</v>
      </c>
    </row>
    <row r="50" spans="2:17">
      <c r="B50">
        <f t="shared" si="29"/>
        <v>0.5</v>
      </c>
      <c r="C50">
        <f t="shared" si="28"/>
        <v>3.0713935509268455E-2</v>
      </c>
      <c r="E50">
        <f t="shared" si="28"/>
        <v>3.0713935509268455E-2</v>
      </c>
      <c r="H50" s="9"/>
    </row>
    <row r="51" spans="2:17">
      <c r="B51">
        <f t="shared" si="29"/>
        <v>0.6</v>
      </c>
      <c r="C51">
        <f t="shared" si="28"/>
        <v>3.6308067133346576E-2</v>
      </c>
      <c r="E51">
        <f t="shared" si="28"/>
        <v>3.6308067133346576E-2</v>
      </c>
      <c r="O51" t="s">
        <v>79</v>
      </c>
      <c r="P51">
        <f>$K$49/$J$37</f>
        <v>1.5912283185861187</v>
      </c>
    </row>
    <row r="52" spans="2:17">
      <c r="B52">
        <f t="shared" si="29"/>
        <v>0.7</v>
      </c>
      <c r="C52">
        <f t="shared" si="28"/>
        <v>4.291931359816617E-2</v>
      </c>
      <c r="E52">
        <f t="shared" si="28"/>
        <v>4.291931359816617E-2</v>
      </c>
    </row>
    <row r="53" spans="2:17">
      <c r="B53">
        <f t="shared" si="29"/>
        <v>0.79999999999999993</v>
      </c>
      <c r="C53">
        <f t="shared" si="28"/>
        <v>5.0547674903727247E-2</v>
      </c>
      <c r="E53">
        <f t="shared" si="28"/>
        <v>5.0547674903727247E-2</v>
      </c>
      <c r="J53" t="s">
        <v>80</v>
      </c>
      <c r="K53">
        <f>$M$33*$J$37</f>
        <v>262.3182191474051</v>
      </c>
      <c r="L53" t="s">
        <v>77</v>
      </c>
      <c r="O53" t="s">
        <v>80</v>
      </c>
      <c r="P53">
        <f>$K$53*3.6</f>
        <v>944.34558893065844</v>
      </c>
      <c r="Q53" t="s">
        <v>81</v>
      </c>
    </row>
    <row r="54" spans="2:17">
      <c r="B54">
        <f t="shared" si="29"/>
        <v>0.89999999999999991</v>
      </c>
      <c r="C54">
        <f t="shared" si="28"/>
        <v>5.9193151050029785E-2</v>
      </c>
      <c r="E54">
        <f t="shared" si="28"/>
        <v>5.9193151050029785E-2</v>
      </c>
      <c r="J54" t="s">
        <v>82</v>
      </c>
      <c r="K54">
        <f>0.5*$H$37*($K$53)^2</f>
        <v>22447.870861698568</v>
      </c>
      <c r="L54" t="s">
        <v>83</v>
      </c>
    </row>
    <row r="55" spans="2:17">
      <c r="B55">
        <f t="shared" si="29"/>
        <v>0.99999999999999989</v>
      </c>
      <c r="C55">
        <f t="shared" si="28"/>
        <v>6.8855742037073814E-2</v>
      </c>
      <c r="E55">
        <f t="shared" si="28"/>
        <v>6.8855742037073814E-2</v>
      </c>
      <c r="J55" t="s">
        <v>84</v>
      </c>
      <c r="K55">
        <f>(D33*9.81)/(K54*A33)</f>
        <v>0.29134166176796766</v>
      </c>
    </row>
    <row r="56" spans="2:17">
      <c r="B56">
        <f t="shared" si="29"/>
        <v>1.0999999999999999</v>
      </c>
      <c r="C56">
        <f t="shared" si="28"/>
        <v>7.9535447864859318E-2</v>
      </c>
      <c r="E56">
        <f t="shared" si="28"/>
        <v>7.9535447864859318E-2</v>
      </c>
      <c r="J56" t="s">
        <v>85</v>
      </c>
      <c r="K56">
        <f>J33+J35*(K55)^2</f>
        <v>2.2316633547284939E-2</v>
      </c>
    </row>
    <row r="57" spans="2:17">
      <c r="B57">
        <f t="shared" si="29"/>
        <v>1.2</v>
      </c>
      <c r="C57">
        <f t="shared" si="28"/>
        <v>9.1232268533386313E-2</v>
      </c>
      <c r="E57">
        <f t="shared" si="28"/>
        <v>9.1232268533386313E-2</v>
      </c>
      <c r="J57" t="s">
        <v>86</v>
      </c>
      <c r="K57">
        <f>K54*A33*K56</f>
        <v>270518.89028614323</v>
      </c>
      <c r="L57" t="s">
        <v>87</v>
      </c>
      <c r="O57" t="s">
        <v>86</v>
      </c>
      <c r="P57">
        <f>K57/9.81</f>
        <v>27575.829794713885</v>
      </c>
      <c r="Q57" t="s">
        <v>88</v>
      </c>
    </row>
    <row r="58" spans="2:17">
      <c r="B58">
        <f t="shared" si="29"/>
        <v>1.3</v>
      </c>
      <c r="C58">
        <f t="shared" si="28"/>
        <v>0.10394620404265477</v>
      </c>
      <c r="E58">
        <f t="shared" si="28"/>
        <v>0.10394620404265477</v>
      </c>
    </row>
    <row r="59" spans="2:17">
      <c r="B59">
        <f>B58+$A$45</f>
        <v>1.4000000000000001</v>
      </c>
      <c r="C59">
        <f t="shared" si="28"/>
        <v>0.11767725439266472</v>
      </c>
      <c r="E59">
        <f t="shared" si="28"/>
        <v>0.11767725439266472</v>
      </c>
      <c r="J59" t="s">
        <v>89</v>
      </c>
      <c r="K59">
        <f>($R$35-$P$57)/(14*$P$57)</f>
        <v>0.14408106824857625</v>
      </c>
    </row>
    <row r="60" spans="2:17">
      <c r="B60">
        <f t="shared" si="29"/>
        <v>1.5000000000000002</v>
      </c>
      <c r="C60">
        <f t="shared" si="28"/>
        <v>0.13242541958341614</v>
      </c>
      <c r="E60">
        <f t="shared" si="28"/>
        <v>0.13242541958341614</v>
      </c>
      <c r="J60" t="s">
        <v>90</v>
      </c>
      <c r="K60">
        <f>M33+K59</f>
        <v>0.97408106824857621</v>
      </c>
    </row>
    <row r="61" spans="2:17">
      <c r="B61">
        <f t="shared" si="29"/>
        <v>1.6000000000000003</v>
      </c>
      <c r="C61">
        <f t="shared" si="28"/>
        <v>0.14819069961490902</v>
      </c>
      <c r="E61">
        <f t="shared" si="28"/>
        <v>0.14819069961490902</v>
      </c>
    </row>
    <row r="62" spans="2:17">
      <c r="B62">
        <f t="shared" si="29"/>
        <v>1.7000000000000004</v>
      </c>
      <c r="C62">
        <f t="shared" si="28"/>
        <v>0.16497309448714342</v>
      </c>
      <c r="E62">
        <f t="shared" si="28"/>
        <v>0.16497309448714342</v>
      </c>
    </row>
    <row r="63" spans="2:17">
      <c r="B63">
        <f t="shared" si="29"/>
        <v>1.8000000000000005</v>
      </c>
      <c r="C63">
        <f t="shared" si="28"/>
        <v>0.18277260420011926</v>
      </c>
      <c r="E63">
        <f t="shared" si="28"/>
        <v>0.18277260420011926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D63"/>
  <sheetViews>
    <sheetView topLeftCell="E1" zoomScale="75" workbookViewId="0">
      <selection activeCell="T34" sqref="T34:T35"/>
    </sheetView>
  </sheetViews>
  <sheetFormatPr defaultRowHeight="12.75"/>
  <cols>
    <col min="1" max="1" width="6.7109375" customWidth="1"/>
    <col min="2" max="2" width="7.5703125" customWidth="1"/>
    <col min="3" max="3" width="8.7109375" customWidth="1"/>
    <col min="4" max="4" width="9.85546875" customWidth="1"/>
    <col min="6" max="6" width="7.5703125" customWidth="1"/>
    <col min="7" max="7" width="7.85546875" customWidth="1"/>
    <col min="8" max="8" width="6.28515625" customWidth="1"/>
    <col min="9" max="9" width="8.85546875" customWidth="1"/>
    <col min="10" max="10" width="7.42578125" customWidth="1"/>
    <col min="11" max="11" width="7.5703125" customWidth="1"/>
    <col min="12" max="12" width="6.28515625" customWidth="1"/>
    <col min="13" max="14" width="6.85546875" customWidth="1"/>
    <col min="15" max="15" width="7.5703125" customWidth="1"/>
    <col min="16" max="16" width="9.42578125" customWidth="1"/>
    <col min="17" max="17" width="7" customWidth="1"/>
    <col min="18" max="18" width="7.5703125" customWidth="1"/>
  </cols>
  <sheetData>
    <row r="1" spans="1:30" s="2" customFormat="1" ht="25.5" customHeight="1">
      <c r="A1" s="2" t="s">
        <v>2</v>
      </c>
      <c r="B1" s="2" t="s">
        <v>0</v>
      </c>
      <c r="C1" s="2" t="s">
        <v>1</v>
      </c>
      <c r="D1" s="2" t="s">
        <v>48</v>
      </c>
      <c r="E1" s="2" t="s">
        <v>49</v>
      </c>
      <c r="F1" s="2" t="s">
        <v>50</v>
      </c>
      <c r="G1" s="2" t="s">
        <v>51</v>
      </c>
      <c r="H1" s="2" t="s">
        <v>52</v>
      </c>
      <c r="I1" s="2" t="s">
        <v>53</v>
      </c>
      <c r="J1" s="2" t="s">
        <v>55</v>
      </c>
      <c r="K1" s="2" t="s">
        <v>56</v>
      </c>
      <c r="L1" s="2" t="s">
        <v>64</v>
      </c>
      <c r="M1" s="2" t="s">
        <v>65</v>
      </c>
      <c r="N1" s="2" t="s">
        <v>98</v>
      </c>
      <c r="O1" s="2" t="s">
        <v>66</v>
      </c>
      <c r="P1" s="2" t="s">
        <v>67</v>
      </c>
      <c r="Q1" s="2" t="s">
        <v>68</v>
      </c>
      <c r="R1" s="2" t="s">
        <v>69</v>
      </c>
      <c r="S1" s="2" t="s">
        <v>57</v>
      </c>
      <c r="T1" s="12" t="s">
        <v>85</v>
      </c>
      <c r="U1" s="12" t="s">
        <v>91</v>
      </c>
      <c r="V1" s="12" t="s">
        <v>93</v>
      </c>
      <c r="W1" s="12" t="s">
        <v>56</v>
      </c>
      <c r="X1" s="12" t="s">
        <v>67</v>
      </c>
      <c r="Y1" s="12" t="s">
        <v>68</v>
      </c>
      <c r="Z1" s="12" t="s">
        <v>69</v>
      </c>
      <c r="AA1" s="12" t="s">
        <v>57</v>
      </c>
      <c r="AC1" s="2" t="s">
        <v>95</v>
      </c>
      <c r="AD1" s="2" t="s">
        <v>97</v>
      </c>
    </row>
    <row r="2" spans="1:30" ht="12" customHeight="1">
      <c r="A2">
        <v>6.4</v>
      </c>
      <c r="B2" s="8">
        <f>$F$39/3.6</f>
        <v>126.0661205520355</v>
      </c>
      <c r="C2">
        <f>$B2*3.6</f>
        <v>453.83803398732783</v>
      </c>
      <c r="D2">
        <f>0.5*$H$37*($B2)^2</f>
        <v>4359.9999999999991</v>
      </c>
      <c r="E2">
        <f>(2/$H$37)*($E$35)*(1/$B2)^2</f>
        <v>1.5000000000000007</v>
      </c>
      <c r="F2">
        <f>$J$33+$J$35*($E2)^2</f>
        <v>0.13242541958341619</v>
      </c>
      <c r="G2" s="7">
        <f>($F2*$D2*$A$33)/9.81</f>
        <v>31782.100700019877</v>
      </c>
      <c r="H2" s="8">
        <f>$E2/$F2</f>
        <v>11.327130430990513</v>
      </c>
      <c r="I2" s="7">
        <f>$D$33/$H2</f>
        <v>31782.100700019873</v>
      </c>
      <c r="J2" s="7">
        <f>$G2*9.81*$B2/1000</f>
        <v>39305.198616189708</v>
      </c>
      <c r="K2" s="7">
        <f>$J2/0.746</f>
        <v>52687.933801862877</v>
      </c>
      <c r="L2" s="10">
        <f>$B2/$J$37</f>
        <v>0.40707736470251432</v>
      </c>
      <c r="M2">
        <f>$R$35*$G$37</f>
        <v>37265.499399371532</v>
      </c>
      <c r="N2">
        <f>M2/$O$35</f>
        <v>0.35832210960934163</v>
      </c>
      <c r="O2">
        <f>$M2*9.81*$B2/746</f>
        <v>61778.237504804711</v>
      </c>
      <c r="P2" s="7">
        <f>$M2-$G2</f>
        <v>5483.3986993516555</v>
      </c>
      <c r="Q2" s="8">
        <f>57.3*ASIN($P2/$D$33)</f>
        <v>0.87280804429436676</v>
      </c>
      <c r="R2" s="7">
        <f>$O2-$K2</f>
        <v>9090.3037029418338</v>
      </c>
      <c r="S2">
        <f>$R2*746/($D$33*9.81)</f>
        <v>1.9201966707426117</v>
      </c>
      <c r="T2" s="13">
        <f>U2*9.81/(D2*$A$33)</f>
        <v>0.13242541958341617</v>
      </c>
      <c r="U2" s="13">
        <f>IF(L2&lt;$M$33,I2,$M$37+$M$37*14*(L2-$M$33))</f>
        <v>31782.100700019873</v>
      </c>
      <c r="V2" s="14">
        <f>$U2*9.81*$B2/1000</f>
        <v>39305.1986161897</v>
      </c>
      <c r="W2" s="14">
        <f>$V2/0.746</f>
        <v>52687.93380186287</v>
      </c>
      <c r="X2" s="14">
        <f>$M2-$U2</f>
        <v>5483.3986993516592</v>
      </c>
      <c r="Y2" s="15">
        <f>57.3*ASIN($X2/$D$33)</f>
        <v>0.87280804429436731</v>
      </c>
      <c r="Z2" s="14">
        <f>$O2-$W2</f>
        <v>9090.303702941841</v>
      </c>
      <c r="AA2" s="13">
        <f>$Z2*746/($D$33*9.81)</f>
        <v>1.9201966707426135</v>
      </c>
      <c r="AC2">
        <f>11.27*(2/$S$33)*SQRT(2/($H$37*$A$33))*(SQRT(E2))*(1/T2)*(SQRT($D$33)-SQRT($D$33-$E$33))</f>
        <v>2294.6101181503805</v>
      </c>
      <c r="AD2">
        <f>(1/$S$33)*(E2/T2)*LN($D$33/($D$33-$E$33))</f>
        <v>5.431020595531642</v>
      </c>
    </row>
    <row r="3" spans="1:30" ht="12" customHeight="1">
      <c r="B3" s="8">
        <f>B2+$A$2</f>
        <v>132.46612055203551</v>
      </c>
      <c r="C3">
        <f t="shared" ref="C3:C30" si="0">$B3*3.6</f>
        <v>476.87803398732785</v>
      </c>
      <c r="D3">
        <f t="shared" ref="D3:D30" si="1">0.5*$H$37*($B3)^2</f>
        <v>4813.9253083687636</v>
      </c>
      <c r="E3">
        <f t="shared" ref="E3:E30" si="2">(2/$H$37)*($E$35)*(1/$B3)^2</f>
        <v>1.3585586773917211</v>
      </c>
      <c r="F3">
        <f t="shared" ref="F3:F30" si="3">$J$33+$J$35*($E3)^2</f>
        <v>0.11186351139637858</v>
      </c>
      <c r="G3" s="7">
        <f t="shared" ref="G3:G30" si="4">($F3*$D3*$A$33)/9.81</f>
        <v>29642.344326276576</v>
      </c>
      <c r="H3" s="8">
        <f t="shared" ref="H3:H30" si="5">$E3/$F3</f>
        <v>12.144788416106366</v>
      </c>
      <c r="I3" s="7">
        <f t="shared" ref="I3:I30" si="6">$D$33/$H3</f>
        <v>29642.344326276576</v>
      </c>
      <c r="J3" s="7">
        <f t="shared" ref="J3:J30" si="7">$G3*9.81*$B3/1000</f>
        <v>38520.008361870779</v>
      </c>
      <c r="K3" s="7">
        <f t="shared" ref="K3:K30" si="8">$J3/0.746</f>
        <v>51635.399948888444</v>
      </c>
      <c r="L3" s="10">
        <f t="shared" ref="L3:L30" si="9">$B3/$J$37</f>
        <v>0.42774346533833679</v>
      </c>
      <c r="M3">
        <f t="shared" ref="M3:M30" si="10">$R$35*$G$37</f>
        <v>37265.499399371532</v>
      </c>
      <c r="N3">
        <f t="shared" ref="N3:N30" si="11">M3/$O$35</f>
        <v>0.35832210960934163</v>
      </c>
      <c r="O3">
        <f t="shared" ref="O3:O30" si="12">$M3*9.81*$B3/746</f>
        <v>64914.533904657459</v>
      </c>
      <c r="P3" s="7">
        <f t="shared" ref="P3:P30" si="13">$M3-$G3</f>
        <v>7623.1550730949566</v>
      </c>
      <c r="Q3" s="8">
        <f t="shared" ref="Q3:Q30" si="14">57.3*ASIN($P3/$D$33)</f>
        <v>1.2134428783935296</v>
      </c>
      <c r="R3" s="7">
        <f t="shared" ref="R3:R29" si="15">$O3-$K3</f>
        <v>13279.133955769015</v>
      </c>
      <c r="S3">
        <f t="shared" ref="S3:S30" si="16">$R3*746/($D$33*9.81)</f>
        <v>2.8050271636096062</v>
      </c>
      <c r="T3" s="13">
        <f t="shared" ref="T3:T30" si="17">U3*9.81/(D3*$A$33)</f>
        <v>0.11186351139637858</v>
      </c>
      <c r="U3" s="13">
        <f t="shared" ref="U3:U30" si="18">IF(L3&lt;$M$33,I3,$M$37+$M$37*14*(L3-$M$33))</f>
        <v>29642.344326276576</v>
      </c>
      <c r="V3" s="14">
        <f t="shared" ref="V3:V30" si="19">$U3*9.81*$B3/1000</f>
        <v>38520.008361870779</v>
      </c>
      <c r="W3" s="14">
        <f t="shared" ref="W3:W30" si="20">$V3/0.746</f>
        <v>51635.399948888444</v>
      </c>
      <c r="X3" s="14">
        <f t="shared" ref="X3:X30" si="21">$M3-$U3</f>
        <v>7623.1550730949566</v>
      </c>
      <c r="Y3" s="15">
        <f t="shared" ref="Y3:Y30" si="22">57.3*ASIN($X3/$D$33)</f>
        <v>1.2134428783935296</v>
      </c>
      <c r="Z3" s="14">
        <f t="shared" ref="Z3:Z30" si="23">$O3-$W3</f>
        <v>13279.133955769015</v>
      </c>
      <c r="AA3" s="13">
        <f t="shared" ref="AA3:AA30" si="24">$Z3*746/($D$33*9.81)</f>
        <v>2.8050271636096062</v>
      </c>
      <c r="AC3">
        <f t="shared" ref="AC3:AC30" si="25">11.27*(2/$S$33)*SQRT(2/($H$37*$A$33))*(SQRT(E3))*(1/T3)*(SQRT($D$33)-SQRT($D$33-$E$33))</f>
        <v>2585.1478423592571</v>
      </c>
      <c r="AD3">
        <f t="shared" ref="AD3:AD30" si="26">(1/$S$33)*(E3/T3)*LN($D$33/($D$33-$E$33))</f>
        <v>5.8230631683897673</v>
      </c>
    </row>
    <row r="4" spans="1:30" ht="12" customHeight="1">
      <c r="B4" s="8">
        <f t="shared" ref="B4:B30" si="27">B3+$A$2</f>
        <v>138.86612055203551</v>
      </c>
      <c r="C4">
        <f t="shared" si="0"/>
        <v>499.91803398732787</v>
      </c>
      <c r="D4">
        <f t="shared" si="1"/>
        <v>5290.3245794522263</v>
      </c>
      <c r="E4">
        <f t="shared" si="2"/>
        <v>1.2362190451227792</v>
      </c>
      <c r="F4">
        <f t="shared" si="3"/>
        <v>9.5719653471150093E-2</v>
      </c>
      <c r="G4" s="7">
        <f t="shared" si="4"/>
        <v>27874.570761196788</v>
      </c>
      <c r="H4" s="8">
        <f t="shared" si="5"/>
        <v>12.914997080462433</v>
      </c>
      <c r="I4" s="7">
        <f t="shared" si="6"/>
        <v>27874.570761196788</v>
      </c>
      <c r="J4" s="7">
        <f t="shared" si="7"/>
        <v>37972.87667091046</v>
      </c>
      <c r="K4" s="7">
        <f t="shared" si="8"/>
        <v>50901.979451622603</v>
      </c>
      <c r="L4" s="10">
        <f t="shared" si="9"/>
        <v>0.44840956597415926</v>
      </c>
      <c r="M4">
        <f t="shared" si="10"/>
        <v>37265.499399371532</v>
      </c>
      <c r="N4">
        <f t="shared" si="11"/>
        <v>0.35832210960934163</v>
      </c>
      <c r="O4">
        <f t="shared" si="12"/>
        <v>68050.830304510193</v>
      </c>
      <c r="P4" s="7">
        <f t="shared" si="13"/>
        <v>9390.9286381747443</v>
      </c>
      <c r="Q4" s="8">
        <f t="shared" si="14"/>
        <v>1.4948923803866241</v>
      </c>
      <c r="R4" s="7">
        <f t="shared" si="15"/>
        <v>17148.85085288759</v>
      </c>
      <c r="S4">
        <f t="shared" si="16"/>
        <v>3.6224495232342684</v>
      </c>
      <c r="T4" s="13">
        <f t="shared" si="17"/>
        <v>9.5719653471150093E-2</v>
      </c>
      <c r="U4" s="13">
        <f t="shared" si="18"/>
        <v>27874.570761196788</v>
      </c>
      <c r="V4" s="14">
        <f t="shared" si="19"/>
        <v>37972.87667091046</v>
      </c>
      <c r="W4" s="14">
        <f t="shared" si="20"/>
        <v>50901.979451622603</v>
      </c>
      <c r="X4" s="14">
        <f t="shared" si="21"/>
        <v>9390.9286381747443</v>
      </c>
      <c r="Y4" s="15">
        <f t="shared" si="22"/>
        <v>1.4948923803866241</v>
      </c>
      <c r="Z4" s="14">
        <f t="shared" si="23"/>
        <v>17148.85085288759</v>
      </c>
      <c r="AA4" s="13">
        <f t="shared" si="24"/>
        <v>3.6224495232342684</v>
      </c>
      <c r="AC4">
        <f t="shared" si="25"/>
        <v>2881.9154131899968</v>
      </c>
      <c r="AD4">
        <f t="shared" si="26"/>
        <v>6.1923552096935532</v>
      </c>
    </row>
    <row r="5" spans="1:30" ht="12" customHeight="1">
      <c r="B5" s="8">
        <f t="shared" si="27"/>
        <v>145.26612055203552</v>
      </c>
      <c r="C5">
        <f t="shared" si="0"/>
        <v>522.95803398732789</v>
      </c>
      <c r="D5">
        <f t="shared" si="1"/>
        <v>5789.1978132503864</v>
      </c>
      <c r="E5">
        <f t="shared" si="2"/>
        <v>1.1296901938695492</v>
      </c>
      <c r="F5">
        <f t="shared" si="3"/>
        <v>8.2902094637592613E-2</v>
      </c>
      <c r="G5" s="7">
        <f t="shared" si="4"/>
        <v>26418.529815953822</v>
      </c>
      <c r="H5" s="8">
        <f t="shared" si="5"/>
        <v>13.626799163615852</v>
      </c>
      <c r="I5" s="7">
        <f t="shared" si="6"/>
        <v>26418.529815953825</v>
      </c>
      <c r="J5" s="7">
        <f t="shared" si="7"/>
        <v>37648.007076479073</v>
      </c>
      <c r="K5" s="7">
        <f t="shared" si="8"/>
        <v>50466.497421553715</v>
      </c>
      <c r="L5" s="10">
        <f t="shared" si="9"/>
        <v>0.46907566660998173</v>
      </c>
      <c r="M5">
        <f t="shared" si="10"/>
        <v>37265.499399371532</v>
      </c>
      <c r="N5">
        <f t="shared" si="11"/>
        <v>0.35832210960934163</v>
      </c>
      <c r="O5">
        <f t="shared" si="12"/>
        <v>71187.126704362934</v>
      </c>
      <c r="P5" s="7">
        <f t="shared" si="13"/>
        <v>10846.969583417711</v>
      </c>
      <c r="Q5" s="8">
        <f t="shared" si="14"/>
        <v>1.7267373276535771</v>
      </c>
      <c r="R5" s="7">
        <f t="shared" si="15"/>
        <v>20720.629282809219</v>
      </c>
      <c r="S5">
        <f t="shared" si="16"/>
        <v>4.3769366420250533</v>
      </c>
      <c r="T5" s="13">
        <f t="shared" si="17"/>
        <v>8.2902094637592627E-2</v>
      </c>
      <c r="U5" s="13">
        <f t="shared" si="18"/>
        <v>26418.529815953825</v>
      </c>
      <c r="V5" s="14">
        <f t="shared" si="19"/>
        <v>37648.007076479073</v>
      </c>
      <c r="W5" s="14">
        <f t="shared" si="20"/>
        <v>50466.497421553715</v>
      </c>
      <c r="X5" s="14">
        <f t="shared" si="21"/>
        <v>10846.969583417707</v>
      </c>
      <c r="Y5" s="15">
        <f t="shared" si="22"/>
        <v>1.7267373276535765</v>
      </c>
      <c r="Z5" s="14">
        <f t="shared" si="23"/>
        <v>20720.629282809219</v>
      </c>
      <c r="AA5" s="13">
        <f t="shared" si="24"/>
        <v>4.3769366420250533</v>
      </c>
      <c r="AC5">
        <f t="shared" si="25"/>
        <v>3180.8911522852814</v>
      </c>
      <c r="AD5">
        <f t="shared" si="26"/>
        <v>6.5336430404553356</v>
      </c>
    </row>
    <row r="6" spans="1:30" ht="12" customHeight="1">
      <c r="B6" s="8">
        <f t="shared" si="27"/>
        <v>151.66612055203552</v>
      </c>
      <c r="C6">
        <f t="shared" si="0"/>
        <v>545.99803398732786</v>
      </c>
      <c r="D6">
        <f t="shared" si="1"/>
        <v>6310.5450097632447</v>
      </c>
      <c r="E6">
        <f t="shared" si="2"/>
        <v>1.036360566303189</v>
      </c>
      <c r="F6">
        <f t="shared" si="3"/>
        <v>7.2621265105300939E-2</v>
      </c>
      <c r="G6" s="7">
        <f t="shared" si="4"/>
        <v>25226.408923648651</v>
      </c>
      <c r="H6" s="8">
        <f t="shared" si="5"/>
        <v>14.270758913390791</v>
      </c>
      <c r="I6" s="7">
        <f t="shared" si="6"/>
        <v>25226.408923648651</v>
      </c>
      <c r="J6" s="7">
        <f t="shared" si="7"/>
        <v>37532.977369477696</v>
      </c>
      <c r="K6" s="7">
        <f t="shared" si="8"/>
        <v>50312.302103857503</v>
      </c>
      <c r="L6" s="10">
        <f t="shared" si="9"/>
        <v>0.4897417672458042</v>
      </c>
      <c r="M6">
        <f t="shared" si="10"/>
        <v>37265.499399371532</v>
      </c>
      <c r="N6">
        <f t="shared" si="11"/>
        <v>0.35832210960934163</v>
      </c>
      <c r="O6">
        <f t="shared" si="12"/>
        <v>74323.42310421569</v>
      </c>
      <c r="P6" s="7">
        <f t="shared" si="13"/>
        <v>12039.090475722882</v>
      </c>
      <c r="Q6" s="8">
        <f t="shared" si="14"/>
        <v>1.9165792521776548</v>
      </c>
      <c r="R6" s="7">
        <f t="shared" si="15"/>
        <v>24011.121000358187</v>
      </c>
      <c r="S6">
        <f t="shared" si="16"/>
        <v>5.0720059650773601</v>
      </c>
      <c r="T6" s="13">
        <f t="shared" si="17"/>
        <v>7.2621265105300939E-2</v>
      </c>
      <c r="U6" s="13">
        <f t="shared" si="18"/>
        <v>25226.408923648651</v>
      </c>
      <c r="V6" s="14">
        <f t="shared" si="19"/>
        <v>37532.977369477696</v>
      </c>
      <c r="W6" s="14">
        <f t="shared" si="20"/>
        <v>50312.302103857503</v>
      </c>
      <c r="X6" s="14">
        <f t="shared" si="21"/>
        <v>12039.090475722882</v>
      </c>
      <c r="Y6" s="15">
        <f t="shared" si="22"/>
        <v>1.9165792521776548</v>
      </c>
      <c r="Z6" s="14">
        <f t="shared" si="23"/>
        <v>24011.121000358187</v>
      </c>
      <c r="AA6" s="13">
        <f t="shared" si="24"/>
        <v>5.0720059650773601</v>
      </c>
      <c r="AC6">
        <f t="shared" si="25"/>
        <v>3477.9734463476184</v>
      </c>
      <c r="AD6">
        <f t="shared" si="26"/>
        <v>6.8424024994399781</v>
      </c>
    </row>
    <row r="7" spans="1:30" ht="12" customHeight="1">
      <c r="B7" s="8">
        <f t="shared" si="27"/>
        <v>158.06612055203553</v>
      </c>
      <c r="C7">
        <f t="shared" si="0"/>
        <v>569.03803398732794</v>
      </c>
      <c r="D7">
        <f t="shared" si="1"/>
        <v>6854.3661689908022</v>
      </c>
      <c r="E7">
        <f t="shared" si="2"/>
        <v>0.95413636195670504</v>
      </c>
      <c r="F7">
        <f t="shared" si="3"/>
        <v>6.4297857041901094E-2</v>
      </c>
      <c r="G7" s="7">
        <f t="shared" si="4"/>
        <v>24259.874644767733</v>
      </c>
      <c r="H7" s="8">
        <f t="shared" si="5"/>
        <v>14.839318226965501</v>
      </c>
      <c r="I7" s="7">
        <f t="shared" si="6"/>
        <v>24259.874644767729</v>
      </c>
      <c r="J7" s="7">
        <f t="shared" si="7"/>
        <v>37618.056490437615</v>
      </c>
      <c r="K7" s="7">
        <f t="shared" si="8"/>
        <v>50426.349182892249</v>
      </c>
      <c r="L7" s="10">
        <f t="shared" si="9"/>
        <v>0.51040786788162673</v>
      </c>
      <c r="M7">
        <f t="shared" si="10"/>
        <v>37265.499399371532</v>
      </c>
      <c r="N7">
        <f t="shared" si="11"/>
        <v>0.35832210960934163</v>
      </c>
      <c r="O7">
        <f t="shared" si="12"/>
        <v>77459.719504068416</v>
      </c>
      <c r="P7" s="7">
        <f t="shared" si="13"/>
        <v>13005.624754603799</v>
      </c>
      <c r="Q7" s="8">
        <f t="shared" si="14"/>
        <v>2.0705124918959328</v>
      </c>
      <c r="R7" s="7">
        <f t="shared" si="15"/>
        <v>27033.370321176168</v>
      </c>
      <c r="S7">
        <f t="shared" si="16"/>
        <v>5.7104129175437253</v>
      </c>
      <c r="T7" s="13">
        <f t="shared" si="17"/>
        <v>6.429785704190108E-2</v>
      </c>
      <c r="U7" s="13">
        <f t="shared" si="18"/>
        <v>24259.874644767729</v>
      </c>
      <c r="V7" s="14">
        <f t="shared" si="19"/>
        <v>37618.056490437608</v>
      </c>
      <c r="W7" s="14">
        <f t="shared" si="20"/>
        <v>50426.349182892234</v>
      </c>
      <c r="X7" s="14">
        <f t="shared" si="21"/>
        <v>13005.624754603803</v>
      </c>
      <c r="Y7" s="15">
        <f t="shared" si="22"/>
        <v>2.0705124918959332</v>
      </c>
      <c r="Z7" s="14">
        <f t="shared" si="23"/>
        <v>27033.370321176182</v>
      </c>
      <c r="AA7" s="13">
        <f t="shared" si="24"/>
        <v>5.7104129175437288</v>
      </c>
      <c r="AC7">
        <f t="shared" si="25"/>
        <v>3769.1494435682107</v>
      </c>
      <c r="AD7">
        <f t="shared" si="26"/>
        <v>7.1150097021748708</v>
      </c>
    </row>
    <row r="8" spans="1:30" ht="12" customHeight="1">
      <c r="B8" s="8">
        <f t="shared" si="27"/>
        <v>164.46612055203553</v>
      </c>
      <c r="C8">
        <f t="shared" si="0"/>
        <v>592.0780339873279</v>
      </c>
      <c r="D8">
        <f t="shared" si="1"/>
        <v>7420.6612909330561</v>
      </c>
      <c r="E8">
        <f t="shared" si="2"/>
        <v>0.8813230712997111</v>
      </c>
      <c r="F8">
        <f t="shared" si="3"/>
        <v>5.7501198617362706E-2</v>
      </c>
      <c r="G8" s="7">
        <f t="shared" si="4"/>
        <v>23487.903785070648</v>
      </c>
      <c r="H8" s="8">
        <f t="shared" si="5"/>
        <v>15.327038261661423</v>
      </c>
      <c r="I8" s="7">
        <f t="shared" si="6"/>
        <v>23487.903785070648</v>
      </c>
      <c r="J8" s="7">
        <f t="shared" si="7"/>
        <v>37895.680915368706</v>
      </c>
      <c r="K8" s="7">
        <f t="shared" si="8"/>
        <v>50798.499886553225</v>
      </c>
      <c r="L8" s="10">
        <f t="shared" si="9"/>
        <v>0.53107396851744915</v>
      </c>
      <c r="M8">
        <f t="shared" si="10"/>
        <v>37265.499399371532</v>
      </c>
      <c r="N8">
        <f t="shared" si="11"/>
        <v>0.35832210960934163</v>
      </c>
      <c r="O8">
        <f t="shared" si="12"/>
        <v>80596.015903921158</v>
      </c>
      <c r="P8" s="7">
        <f t="shared" si="13"/>
        <v>13777.595614300884</v>
      </c>
      <c r="Q8" s="8">
        <f t="shared" si="14"/>
        <v>2.1934696450807905</v>
      </c>
      <c r="R8" s="7">
        <f t="shared" si="15"/>
        <v>29797.516017367932</v>
      </c>
      <c r="S8">
        <f t="shared" si="16"/>
        <v>6.2942991700522368</v>
      </c>
      <c r="T8" s="13">
        <f t="shared" si="17"/>
        <v>5.7501198617362706E-2</v>
      </c>
      <c r="U8" s="13">
        <f t="shared" si="18"/>
        <v>23487.903785070648</v>
      </c>
      <c r="V8" s="14">
        <f t="shared" si="19"/>
        <v>37895.680915368706</v>
      </c>
      <c r="W8" s="14">
        <f t="shared" si="20"/>
        <v>50798.499886553225</v>
      </c>
      <c r="X8" s="14">
        <f t="shared" si="21"/>
        <v>13777.595614300884</v>
      </c>
      <c r="Y8" s="15">
        <f t="shared" si="22"/>
        <v>2.1934696450807905</v>
      </c>
      <c r="Z8" s="14">
        <f t="shared" si="23"/>
        <v>29797.516017367932</v>
      </c>
      <c r="AA8" s="13">
        <f t="shared" si="24"/>
        <v>6.2942991700522368</v>
      </c>
      <c r="AC8">
        <f t="shared" si="25"/>
        <v>4050.6554575567811</v>
      </c>
      <c r="AD8">
        <f t="shared" si="26"/>
        <v>7.3488568861041648</v>
      </c>
    </row>
    <row r="9" spans="1:30" ht="12" customHeight="1">
      <c r="B9" s="8">
        <f t="shared" si="27"/>
        <v>170.86612055203554</v>
      </c>
      <c r="C9">
        <f t="shared" si="0"/>
        <v>615.11803398732798</v>
      </c>
      <c r="D9">
        <f t="shared" si="1"/>
        <v>8009.4303755900091</v>
      </c>
      <c r="E9">
        <f t="shared" si="2"/>
        <v>0.81653746812403449</v>
      </c>
      <c r="F9">
        <f t="shared" si="3"/>
        <v>5.1907223671956035E-2</v>
      </c>
      <c r="G9" s="7">
        <f t="shared" si="4"/>
        <v>22885.172146277582</v>
      </c>
      <c r="H9" s="8">
        <f t="shared" si="5"/>
        <v>15.730709723263161</v>
      </c>
      <c r="I9" s="7">
        <f t="shared" si="6"/>
        <v>22885.172146277582</v>
      </c>
      <c r="J9" s="7">
        <f t="shared" si="7"/>
        <v>38360.048717267528</v>
      </c>
      <c r="K9" s="7">
        <f t="shared" si="8"/>
        <v>51420.976832798297</v>
      </c>
      <c r="L9" s="10">
        <f t="shared" si="9"/>
        <v>0.55174006915327167</v>
      </c>
      <c r="M9">
        <f t="shared" si="10"/>
        <v>37265.499399371532</v>
      </c>
      <c r="N9">
        <f t="shared" si="11"/>
        <v>0.35832210960934163</v>
      </c>
      <c r="O9">
        <f t="shared" si="12"/>
        <v>83732.312303773899</v>
      </c>
      <c r="P9" s="7">
        <f t="shared" si="13"/>
        <v>14380.32725309395</v>
      </c>
      <c r="Q9" s="8">
        <f t="shared" si="14"/>
        <v>2.2894778903567974</v>
      </c>
      <c r="R9" s="7">
        <f t="shared" si="15"/>
        <v>32311.335470975602</v>
      </c>
      <c r="S9">
        <f t="shared" si="16"/>
        <v>6.8253075833468682</v>
      </c>
      <c r="T9" s="13">
        <f t="shared" si="17"/>
        <v>5.1907223671956035E-2</v>
      </c>
      <c r="U9" s="13">
        <f t="shared" si="18"/>
        <v>22885.172146277582</v>
      </c>
      <c r="V9" s="14">
        <f t="shared" si="19"/>
        <v>38360.048717267528</v>
      </c>
      <c r="W9" s="14">
        <f t="shared" si="20"/>
        <v>51420.976832798297</v>
      </c>
      <c r="X9" s="14">
        <f t="shared" si="21"/>
        <v>14380.32725309395</v>
      </c>
      <c r="Y9" s="15">
        <f t="shared" si="22"/>
        <v>2.2894778903567974</v>
      </c>
      <c r="Z9" s="14">
        <f t="shared" si="23"/>
        <v>32311.335470975602</v>
      </c>
      <c r="AA9" s="13">
        <f t="shared" si="24"/>
        <v>6.8253075833468682</v>
      </c>
      <c r="AC9">
        <f t="shared" si="25"/>
        <v>4319.1162232461847</v>
      </c>
      <c r="AD9">
        <f t="shared" si="26"/>
        <v>7.5424052905428773</v>
      </c>
    </row>
    <row r="10" spans="1:30" ht="12" customHeight="1">
      <c r="B10" s="8">
        <f t="shared" si="27"/>
        <v>177.26612055203555</v>
      </c>
      <c r="C10">
        <f t="shared" si="0"/>
        <v>638.15803398732794</v>
      </c>
      <c r="D10">
        <f t="shared" si="1"/>
        <v>8620.6734229616595</v>
      </c>
      <c r="E10">
        <f t="shared" si="2"/>
        <v>0.7586414284735965</v>
      </c>
      <c r="F10">
        <f t="shared" si="3"/>
        <v>4.7269351898010487E-2</v>
      </c>
      <c r="G10" s="7">
        <f t="shared" si="4"/>
        <v>22430.842878594565</v>
      </c>
      <c r="H10" s="8">
        <f t="shared" si="5"/>
        <v>16.049330020653972</v>
      </c>
      <c r="I10" s="7">
        <f t="shared" si="6"/>
        <v>22430.842878594558</v>
      </c>
      <c r="J10" s="7">
        <f t="shared" si="7"/>
        <v>39006.80156342499</v>
      </c>
      <c r="K10" s="7">
        <f t="shared" si="8"/>
        <v>52287.937752580416</v>
      </c>
      <c r="L10" s="10">
        <f t="shared" si="9"/>
        <v>0.57240616978909409</v>
      </c>
      <c r="M10">
        <f t="shared" si="10"/>
        <v>37265.499399371532</v>
      </c>
      <c r="N10">
        <f t="shared" si="11"/>
        <v>0.35832210960934163</v>
      </c>
      <c r="O10">
        <f t="shared" si="12"/>
        <v>86868.60870362664</v>
      </c>
      <c r="P10" s="7">
        <f t="shared" si="13"/>
        <v>14834.656520776967</v>
      </c>
      <c r="Q10" s="8">
        <f t="shared" si="14"/>
        <v>2.3618515743560886</v>
      </c>
      <c r="R10" s="7">
        <f t="shared" si="15"/>
        <v>34580.670951046224</v>
      </c>
      <c r="S10">
        <f t="shared" si="16"/>
        <v>7.3046722532224724</v>
      </c>
      <c r="T10" s="13">
        <f t="shared" si="17"/>
        <v>4.7269351898010473E-2</v>
      </c>
      <c r="U10" s="13">
        <f t="shared" si="18"/>
        <v>22430.842878594558</v>
      </c>
      <c r="V10" s="14">
        <f t="shared" si="19"/>
        <v>39006.801563424975</v>
      </c>
      <c r="W10" s="14">
        <f t="shared" si="20"/>
        <v>52287.937752580394</v>
      </c>
      <c r="X10" s="14">
        <f t="shared" si="21"/>
        <v>14834.656520776975</v>
      </c>
      <c r="Y10" s="15">
        <f t="shared" si="22"/>
        <v>2.3618515743560895</v>
      </c>
      <c r="Z10" s="14">
        <f t="shared" si="23"/>
        <v>34580.670951046246</v>
      </c>
      <c r="AA10" s="13">
        <f t="shared" si="24"/>
        <v>7.3046722532224768</v>
      </c>
      <c r="AC10">
        <f t="shared" si="25"/>
        <v>4571.6530350195462</v>
      </c>
      <c r="AD10">
        <f t="shared" si="26"/>
        <v>7.6951742030071975</v>
      </c>
    </row>
    <row r="11" spans="1:30" ht="12" customHeight="1">
      <c r="B11" s="8">
        <f t="shared" si="27"/>
        <v>183.66612055203555</v>
      </c>
      <c r="C11">
        <f t="shared" si="0"/>
        <v>661.19803398732802</v>
      </c>
      <c r="D11">
        <f t="shared" si="1"/>
        <v>9254.3904330480073</v>
      </c>
      <c r="E11">
        <f t="shared" si="2"/>
        <v>0.70669160192823188</v>
      </c>
      <c r="F11">
        <f t="shared" si="3"/>
        <v>4.3398019727072384E-2</v>
      </c>
      <c r="G11" s="7">
        <f t="shared" si="4"/>
        <v>22107.645059198938</v>
      </c>
      <c r="H11" s="8">
        <f t="shared" si="5"/>
        <v>16.283959645453276</v>
      </c>
      <c r="I11" s="7">
        <f t="shared" si="6"/>
        <v>22107.645059198938</v>
      </c>
      <c r="J11" s="7">
        <f t="shared" si="7"/>
        <v>39832.773199157207</v>
      </c>
      <c r="K11" s="7">
        <f t="shared" si="8"/>
        <v>53395.138336671858</v>
      </c>
      <c r="L11" s="10">
        <f t="shared" si="9"/>
        <v>0.59307227042491661</v>
      </c>
      <c r="M11">
        <f t="shared" si="10"/>
        <v>37265.499399371532</v>
      </c>
      <c r="N11">
        <f t="shared" si="11"/>
        <v>0.35832210960934163</v>
      </c>
      <c r="O11">
        <f t="shared" si="12"/>
        <v>90004.905103479396</v>
      </c>
      <c r="P11" s="7">
        <f t="shared" si="13"/>
        <v>15157.854340172595</v>
      </c>
      <c r="Q11" s="8">
        <f t="shared" si="14"/>
        <v>2.4133385863537282</v>
      </c>
      <c r="R11" s="7">
        <f t="shared" si="15"/>
        <v>36609.766766807537</v>
      </c>
      <c r="S11">
        <f t="shared" si="16"/>
        <v>7.7332897293120464</v>
      </c>
      <c r="T11" s="13">
        <f t="shared" si="17"/>
        <v>4.3398019727072384E-2</v>
      </c>
      <c r="U11" s="13">
        <f t="shared" si="18"/>
        <v>22107.645059198938</v>
      </c>
      <c r="V11" s="14">
        <f t="shared" si="19"/>
        <v>39832.773199157207</v>
      </c>
      <c r="W11" s="14">
        <f t="shared" si="20"/>
        <v>53395.138336671858</v>
      </c>
      <c r="X11" s="14">
        <f t="shared" si="21"/>
        <v>15157.854340172595</v>
      </c>
      <c r="Y11" s="15">
        <f t="shared" si="22"/>
        <v>2.4133385863537282</v>
      </c>
      <c r="Z11" s="14">
        <f t="shared" si="23"/>
        <v>36609.766766807537</v>
      </c>
      <c r="AA11" s="13">
        <f t="shared" si="24"/>
        <v>7.7332897293120464</v>
      </c>
      <c r="AC11">
        <f t="shared" si="25"/>
        <v>4805.9548303163965</v>
      </c>
      <c r="AD11">
        <f t="shared" si="26"/>
        <v>7.8076720975419418</v>
      </c>
    </row>
    <row r="12" spans="1:30" ht="12" customHeight="1">
      <c r="B12" s="8">
        <f t="shared" si="27"/>
        <v>190.06612055203556</v>
      </c>
      <c r="C12">
        <f t="shared" si="0"/>
        <v>684.23803398732798</v>
      </c>
      <c r="D12">
        <f t="shared" si="1"/>
        <v>9910.5814058490541</v>
      </c>
      <c r="E12">
        <f t="shared" si="2"/>
        <v>0.65990073964179408</v>
      </c>
      <c r="F12">
        <f t="shared" si="3"/>
        <v>4.0146098426305309E-2</v>
      </c>
      <c r="G12" s="7">
        <f t="shared" si="4"/>
        <v>21901.165683364809</v>
      </c>
      <c r="H12" s="8">
        <f t="shared" si="5"/>
        <v>16.437481237514255</v>
      </c>
      <c r="I12" s="7">
        <f t="shared" si="6"/>
        <v>21901.165683364801</v>
      </c>
      <c r="J12" s="7">
        <f t="shared" si="7"/>
        <v>40835.788746614337</v>
      </c>
      <c r="K12" s="7">
        <f t="shared" si="8"/>
        <v>54739.663199214927</v>
      </c>
      <c r="L12" s="10">
        <f t="shared" si="9"/>
        <v>0.61373837106073903</v>
      </c>
      <c r="M12">
        <f t="shared" si="10"/>
        <v>37265.499399371532</v>
      </c>
      <c r="N12">
        <f t="shared" si="11"/>
        <v>0.35832210960934163</v>
      </c>
      <c r="O12">
        <f t="shared" si="12"/>
        <v>93141.201503332122</v>
      </c>
      <c r="P12" s="7">
        <f t="shared" si="13"/>
        <v>15364.333716006724</v>
      </c>
      <c r="Q12" s="8">
        <f t="shared" si="14"/>
        <v>2.4462327907704262</v>
      </c>
      <c r="R12" s="7">
        <f t="shared" si="15"/>
        <v>38401.538304117195</v>
      </c>
      <c r="S12">
        <f t="shared" si="16"/>
        <v>8.1117758451895536</v>
      </c>
      <c r="T12" s="13">
        <f t="shared" si="17"/>
        <v>4.0146098426305295E-2</v>
      </c>
      <c r="U12" s="13">
        <f t="shared" si="18"/>
        <v>21901.165683364801</v>
      </c>
      <c r="V12" s="14">
        <f t="shared" si="19"/>
        <v>40835.788746614329</v>
      </c>
      <c r="W12" s="14">
        <f t="shared" si="20"/>
        <v>54739.66319921492</v>
      </c>
      <c r="X12" s="14">
        <f t="shared" si="21"/>
        <v>15364.333716006731</v>
      </c>
      <c r="Y12" s="15">
        <f t="shared" si="22"/>
        <v>2.4462327907704275</v>
      </c>
      <c r="Z12" s="14">
        <f t="shared" si="23"/>
        <v>38401.538304117203</v>
      </c>
      <c r="AA12" s="13">
        <f t="shared" si="24"/>
        <v>8.1117758451895554</v>
      </c>
      <c r="AC12">
        <f t="shared" si="25"/>
        <v>5020.3106895764759</v>
      </c>
      <c r="AD12">
        <f t="shared" si="26"/>
        <v>7.8812811138256107</v>
      </c>
    </row>
    <row r="13" spans="1:30" ht="12" customHeight="1">
      <c r="B13" s="8">
        <f t="shared" si="27"/>
        <v>196.46612055203556</v>
      </c>
      <c r="C13">
        <f t="shared" si="0"/>
        <v>707.27803398732806</v>
      </c>
      <c r="D13">
        <f t="shared" si="1"/>
        <v>10589.246341364797</v>
      </c>
      <c r="E13">
        <f t="shared" si="2"/>
        <v>0.61760769266957027</v>
      </c>
      <c r="F13">
        <f t="shared" si="3"/>
        <v>3.7398376713353526E-2</v>
      </c>
      <c r="G13" s="7">
        <f t="shared" si="4"/>
        <v>21799.300391827222</v>
      </c>
      <c r="H13" s="8">
        <f t="shared" si="5"/>
        <v>16.51429144647998</v>
      </c>
      <c r="I13" s="7">
        <f t="shared" si="6"/>
        <v>21799.300391827222</v>
      </c>
      <c r="J13" s="7">
        <f t="shared" si="7"/>
        <v>42014.503231348783</v>
      </c>
      <c r="K13" s="7">
        <f t="shared" si="8"/>
        <v>56319.709425400513</v>
      </c>
      <c r="L13" s="10">
        <f t="shared" si="9"/>
        <v>0.63440447169656156</v>
      </c>
      <c r="M13">
        <f t="shared" si="10"/>
        <v>37265.499399371532</v>
      </c>
      <c r="N13">
        <f t="shared" si="11"/>
        <v>0.35832210960934163</v>
      </c>
      <c r="O13">
        <f t="shared" si="12"/>
        <v>96277.497903184863</v>
      </c>
      <c r="P13" s="7">
        <f t="shared" si="13"/>
        <v>15466.19900754431</v>
      </c>
      <c r="Q13" s="8">
        <f t="shared" si="14"/>
        <v>2.4624612345332886</v>
      </c>
      <c r="R13" s="7">
        <f t="shared" si="15"/>
        <v>39957.78847778435</v>
      </c>
      <c r="S13">
        <f t="shared" si="16"/>
        <v>8.4405114408277058</v>
      </c>
      <c r="T13" s="13">
        <f t="shared" si="17"/>
        <v>3.7398376713353526E-2</v>
      </c>
      <c r="U13" s="13">
        <f t="shared" si="18"/>
        <v>21799.300391827222</v>
      </c>
      <c r="V13" s="14">
        <f t="shared" si="19"/>
        <v>42014.503231348783</v>
      </c>
      <c r="W13" s="14">
        <f t="shared" si="20"/>
        <v>56319.709425400513</v>
      </c>
      <c r="X13" s="14">
        <f t="shared" si="21"/>
        <v>15466.19900754431</v>
      </c>
      <c r="Y13" s="15">
        <f t="shared" si="22"/>
        <v>2.4624612345332886</v>
      </c>
      <c r="Z13" s="14">
        <f t="shared" si="23"/>
        <v>39957.78847778435</v>
      </c>
      <c r="AA13" s="13">
        <f t="shared" si="24"/>
        <v>8.4405114408277058</v>
      </c>
      <c r="AC13">
        <f t="shared" si="25"/>
        <v>5213.6062528041302</v>
      </c>
      <c r="AD13">
        <f t="shared" si="26"/>
        <v>7.9181093139934635</v>
      </c>
    </row>
    <row r="14" spans="1:30" ht="12" customHeight="1">
      <c r="B14" s="8">
        <f t="shared" si="27"/>
        <v>202.86612055203557</v>
      </c>
      <c r="C14">
        <f t="shared" si="0"/>
        <v>730.31803398732802</v>
      </c>
      <c r="D14">
        <f t="shared" si="1"/>
        <v>11290.38523959524</v>
      </c>
      <c r="E14">
        <f t="shared" si="2"/>
        <v>0.57925392811790888</v>
      </c>
      <c r="F14">
        <f t="shared" si="3"/>
        <v>3.5063887163315197E-2</v>
      </c>
      <c r="G14" s="7">
        <f t="shared" si="4"/>
        <v>21791.823526873039</v>
      </c>
      <c r="H14" s="8">
        <f t="shared" si="5"/>
        <v>16.519957568308065</v>
      </c>
      <c r="I14" s="7">
        <f t="shared" si="6"/>
        <v>21791.823526873039</v>
      </c>
      <c r="J14" s="7">
        <f t="shared" si="7"/>
        <v>43368.270673769359</v>
      </c>
      <c r="K14" s="7">
        <f t="shared" si="8"/>
        <v>58134.411090843641</v>
      </c>
      <c r="L14" s="10">
        <f t="shared" si="9"/>
        <v>0.65507057233238408</v>
      </c>
      <c r="M14">
        <f t="shared" si="10"/>
        <v>37265.499399371532</v>
      </c>
      <c r="N14">
        <f t="shared" si="11"/>
        <v>0.35832210960934163</v>
      </c>
      <c r="O14">
        <f t="shared" si="12"/>
        <v>99413.794303037605</v>
      </c>
      <c r="P14" s="7">
        <f t="shared" si="13"/>
        <v>15473.675872498494</v>
      </c>
      <c r="Q14" s="8">
        <f t="shared" si="14"/>
        <v>2.4636524025169582</v>
      </c>
      <c r="R14" s="7">
        <f t="shared" si="15"/>
        <v>41279.383212193963</v>
      </c>
      <c r="S14">
        <f t="shared" si="16"/>
        <v>8.7196794303705669</v>
      </c>
      <c r="T14" s="13">
        <f t="shared" si="17"/>
        <v>3.5063887163315197E-2</v>
      </c>
      <c r="U14" s="13">
        <f t="shared" si="18"/>
        <v>21791.823526873039</v>
      </c>
      <c r="V14" s="14">
        <f t="shared" si="19"/>
        <v>43368.270673769359</v>
      </c>
      <c r="W14" s="14">
        <f t="shared" si="20"/>
        <v>58134.411090843641</v>
      </c>
      <c r="X14" s="14">
        <f t="shared" si="21"/>
        <v>15473.675872498494</v>
      </c>
      <c r="Y14" s="15">
        <f t="shared" si="22"/>
        <v>2.4636524025169582</v>
      </c>
      <c r="Z14" s="14">
        <f t="shared" si="23"/>
        <v>41279.383212193963</v>
      </c>
      <c r="AA14" s="13">
        <f t="shared" si="24"/>
        <v>8.7196794303705669</v>
      </c>
      <c r="AC14">
        <f t="shared" si="25"/>
        <v>5385.2896394866193</v>
      </c>
      <c r="AD14">
        <f t="shared" si="26"/>
        <v>7.9208260501105769</v>
      </c>
    </row>
    <row r="15" spans="1:30" ht="12" customHeight="1">
      <c r="B15" s="8">
        <f t="shared" si="27"/>
        <v>209.26612055203557</v>
      </c>
      <c r="C15">
        <f t="shared" si="0"/>
        <v>753.3580339873281</v>
      </c>
      <c r="D15">
        <f t="shared" si="1"/>
        <v>12013.998100540379</v>
      </c>
      <c r="E15">
        <f t="shared" si="2"/>
        <v>0.54436499367399072</v>
      </c>
      <c r="F15">
        <f t="shared" si="3"/>
        <v>3.3070247132757906E-2</v>
      </c>
      <c r="G15" s="7">
        <f t="shared" si="4"/>
        <v>21870.048783707578</v>
      </c>
      <c r="H15" s="8">
        <f t="shared" si="5"/>
        <v>16.460868631815185</v>
      </c>
      <c r="I15" s="7">
        <f t="shared" si="6"/>
        <v>21870.048783707585</v>
      </c>
      <c r="J15" s="7">
        <f t="shared" si="7"/>
        <v>44897.037202104941</v>
      </c>
      <c r="K15" s="7">
        <f t="shared" si="8"/>
        <v>60183.695981373916</v>
      </c>
      <c r="L15" s="10">
        <f t="shared" si="9"/>
        <v>0.6757366729682065</v>
      </c>
      <c r="M15">
        <f t="shared" si="10"/>
        <v>37265.499399371532</v>
      </c>
      <c r="N15">
        <f t="shared" si="11"/>
        <v>0.35832210960934163</v>
      </c>
      <c r="O15">
        <f t="shared" si="12"/>
        <v>102550.09070289035</v>
      </c>
      <c r="P15" s="7">
        <f t="shared" si="13"/>
        <v>15395.450615663955</v>
      </c>
      <c r="Q15" s="8">
        <f t="shared" si="14"/>
        <v>2.4511900899722812</v>
      </c>
      <c r="R15" s="7">
        <f t="shared" si="15"/>
        <v>42366.39472151643</v>
      </c>
      <c r="S15">
        <f t="shared" si="16"/>
        <v>8.9492950680290111</v>
      </c>
      <c r="T15" s="13">
        <f t="shared" si="17"/>
        <v>3.3070247132757913E-2</v>
      </c>
      <c r="U15" s="13">
        <f t="shared" si="18"/>
        <v>21870.048783707585</v>
      </c>
      <c r="V15" s="14">
        <f t="shared" si="19"/>
        <v>44897.037202104962</v>
      </c>
      <c r="W15" s="14">
        <f t="shared" si="20"/>
        <v>60183.695981373945</v>
      </c>
      <c r="X15" s="14">
        <f t="shared" si="21"/>
        <v>15395.450615663947</v>
      </c>
      <c r="Y15" s="15">
        <f t="shared" si="22"/>
        <v>2.4511900899722803</v>
      </c>
      <c r="Z15" s="14">
        <f t="shared" si="23"/>
        <v>42366.394721516401</v>
      </c>
      <c r="AA15" s="13">
        <f t="shared" si="24"/>
        <v>8.9492950680290058</v>
      </c>
      <c r="AC15">
        <f t="shared" si="25"/>
        <v>5535.3143148989211</v>
      </c>
      <c r="AD15">
        <f t="shared" si="26"/>
        <v>7.8924946705951697</v>
      </c>
    </row>
    <row r="16" spans="1:30" ht="12" customHeight="1">
      <c r="B16" s="8">
        <f t="shared" si="27"/>
        <v>215.66612055203558</v>
      </c>
      <c r="C16">
        <f t="shared" si="0"/>
        <v>776.39803398732806</v>
      </c>
      <c r="D16">
        <f t="shared" si="1"/>
        <v>12760.084924200219</v>
      </c>
      <c r="E16">
        <f t="shared" si="2"/>
        <v>0.51253577377032367</v>
      </c>
      <c r="F16">
        <f t="shared" si="3"/>
        <v>3.1359443343684609E-2</v>
      </c>
      <c r="G16" s="7">
        <f t="shared" si="4"/>
        <v>22026.55927932445</v>
      </c>
      <c r="H16" s="8">
        <f t="shared" si="5"/>
        <v>16.3439053478461</v>
      </c>
      <c r="I16" s="7">
        <f t="shared" si="6"/>
        <v>22026.55927932445</v>
      </c>
      <c r="J16" s="7">
        <f t="shared" si="7"/>
        <v>46601.253196925994</v>
      </c>
      <c r="K16" s="7">
        <f t="shared" si="8"/>
        <v>62468.167824297583</v>
      </c>
      <c r="L16" s="10">
        <f t="shared" si="9"/>
        <v>0.69640277360402902</v>
      </c>
      <c r="M16">
        <f t="shared" si="10"/>
        <v>37265.499399371532</v>
      </c>
      <c r="N16">
        <f t="shared" si="11"/>
        <v>0.35832210960934163</v>
      </c>
      <c r="O16">
        <f t="shared" si="12"/>
        <v>105686.38710274307</v>
      </c>
      <c r="P16" s="7">
        <f t="shared" si="13"/>
        <v>15238.940120047082</v>
      </c>
      <c r="Q16" s="8">
        <f t="shared" si="14"/>
        <v>2.4262562566529309</v>
      </c>
      <c r="R16" s="7">
        <f t="shared" si="15"/>
        <v>43218.219278445489</v>
      </c>
      <c r="S16">
        <f t="shared" si="16"/>
        <v>9.1292308250425673</v>
      </c>
      <c r="T16" s="13">
        <f t="shared" si="17"/>
        <v>3.1359443343684609E-2</v>
      </c>
      <c r="U16" s="13">
        <f t="shared" si="18"/>
        <v>22026.55927932445</v>
      </c>
      <c r="V16" s="14">
        <f t="shared" si="19"/>
        <v>46601.253196925994</v>
      </c>
      <c r="W16" s="14">
        <f t="shared" si="20"/>
        <v>62468.167824297583</v>
      </c>
      <c r="X16" s="14">
        <f t="shared" si="21"/>
        <v>15238.940120047082</v>
      </c>
      <c r="Y16" s="15">
        <f t="shared" si="22"/>
        <v>2.4262562566529309</v>
      </c>
      <c r="Z16" s="14">
        <f t="shared" si="23"/>
        <v>43218.219278445489</v>
      </c>
      <c r="AA16" s="13">
        <f t="shared" si="24"/>
        <v>9.1292308250425673</v>
      </c>
      <c r="AC16">
        <f t="shared" si="25"/>
        <v>5664.0669635727536</v>
      </c>
      <c r="AD16">
        <f t="shared" si="26"/>
        <v>7.8364142707068503</v>
      </c>
    </row>
    <row r="17" spans="1:30" ht="12" customHeight="1">
      <c r="B17" s="8">
        <f t="shared" si="27"/>
        <v>222.06612055203558</v>
      </c>
      <c r="C17">
        <f t="shared" si="0"/>
        <v>799.43803398732814</v>
      </c>
      <c r="D17">
        <f t="shared" si="1"/>
        <v>13528.645710574754</v>
      </c>
      <c r="E17">
        <f t="shared" si="2"/>
        <v>0.48341867618633594</v>
      </c>
      <c r="F17">
        <f t="shared" si="3"/>
        <v>2.9884662275710142E-2</v>
      </c>
      <c r="G17" s="7">
        <f t="shared" si="4"/>
        <v>22254.991272014373</v>
      </c>
      <c r="H17" s="8">
        <f t="shared" si="5"/>
        <v>16.17614653719049</v>
      </c>
      <c r="I17" s="7">
        <f t="shared" si="6"/>
        <v>22254.99127201438</v>
      </c>
      <c r="J17" s="7">
        <f t="shared" si="7"/>
        <v>48481.800627764263</v>
      </c>
      <c r="K17" s="7">
        <f t="shared" si="8"/>
        <v>64989.008884402501</v>
      </c>
      <c r="L17" s="10">
        <f t="shared" si="9"/>
        <v>0.71706887423985144</v>
      </c>
      <c r="M17">
        <f t="shared" si="10"/>
        <v>37265.499399371532</v>
      </c>
      <c r="N17">
        <f t="shared" si="11"/>
        <v>0.35832210960934163</v>
      </c>
      <c r="O17">
        <f t="shared" si="12"/>
        <v>108822.68350259583</v>
      </c>
      <c r="P17" s="7">
        <f t="shared" si="13"/>
        <v>15010.50812735716</v>
      </c>
      <c r="Q17" s="8">
        <f t="shared" si="14"/>
        <v>2.3898653661919931</v>
      </c>
      <c r="R17" s="7">
        <f t="shared" si="15"/>
        <v>43833.674618193327</v>
      </c>
      <c r="S17">
        <f t="shared" si="16"/>
        <v>9.2592369648805697</v>
      </c>
      <c r="T17" s="13">
        <f t="shared" si="17"/>
        <v>2.9884662275710145E-2</v>
      </c>
      <c r="U17" s="13">
        <f t="shared" si="18"/>
        <v>22254.99127201438</v>
      </c>
      <c r="V17" s="14">
        <f t="shared" si="19"/>
        <v>48481.800627764278</v>
      </c>
      <c r="W17" s="14">
        <f t="shared" si="20"/>
        <v>64989.008884402516</v>
      </c>
      <c r="X17" s="14">
        <f t="shared" si="21"/>
        <v>15010.508127357152</v>
      </c>
      <c r="Y17" s="15">
        <f t="shared" si="22"/>
        <v>2.3898653661919917</v>
      </c>
      <c r="Z17" s="14">
        <f t="shared" si="23"/>
        <v>43833.674618193312</v>
      </c>
      <c r="AA17" s="13">
        <f t="shared" si="24"/>
        <v>9.2592369648805661</v>
      </c>
      <c r="AC17">
        <f t="shared" si="25"/>
        <v>5772.2880139676254</v>
      </c>
      <c r="AD17">
        <f t="shared" si="26"/>
        <v>7.7559789335044309</v>
      </c>
    </row>
    <row r="18" spans="1:30" ht="12" customHeight="1">
      <c r="B18" s="8">
        <f t="shared" si="27"/>
        <v>228.46612055203559</v>
      </c>
      <c r="C18">
        <f t="shared" si="0"/>
        <v>822.4780339873281</v>
      </c>
      <c r="D18">
        <f t="shared" si="1"/>
        <v>14319.680459663989</v>
      </c>
      <c r="E18">
        <f t="shared" si="2"/>
        <v>0.45671410185597544</v>
      </c>
      <c r="F18">
        <f t="shared" si="3"/>
        <v>2.8607885865627784E-2</v>
      </c>
      <c r="G18" s="7">
        <f t="shared" si="4"/>
        <v>22549.859681962997</v>
      </c>
      <c r="H18" s="8">
        <f t="shared" si="5"/>
        <v>15.964622621929392</v>
      </c>
      <c r="I18" s="7">
        <f t="shared" si="6"/>
        <v>22549.859681962997</v>
      </c>
      <c r="J18" s="7">
        <f t="shared" si="7"/>
        <v>50539.932602807588</v>
      </c>
      <c r="K18" s="7">
        <f t="shared" si="8"/>
        <v>67747.898931377465</v>
      </c>
      <c r="L18" s="10">
        <f t="shared" si="9"/>
        <v>0.73773497487567397</v>
      </c>
      <c r="M18">
        <f t="shared" si="10"/>
        <v>37265.499399371532</v>
      </c>
      <c r="N18">
        <f t="shared" si="11"/>
        <v>0.35832210960934163</v>
      </c>
      <c r="O18">
        <f t="shared" si="12"/>
        <v>111958.97990244857</v>
      </c>
      <c r="P18" s="7">
        <f t="shared" si="13"/>
        <v>14715.639717408536</v>
      </c>
      <c r="Q18" s="8">
        <f t="shared" si="14"/>
        <v>2.3428920914986127</v>
      </c>
      <c r="R18" s="7">
        <f t="shared" si="15"/>
        <v>44211.080971071104</v>
      </c>
      <c r="S18">
        <f t="shared" si="16"/>
        <v>9.3389586602160612</v>
      </c>
      <c r="T18" s="13">
        <f t="shared" si="17"/>
        <v>2.8607885865627781E-2</v>
      </c>
      <c r="U18" s="13">
        <f t="shared" si="18"/>
        <v>22549.859681962997</v>
      </c>
      <c r="V18" s="14">
        <f t="shared" si="19"/>
        <v>50539.932602807588</v>
      </c>
      <c r="W18" s="14">
        <f t="shared" si="20"/>
        <v>67747.898931377465</v>
      </c>
      <c r="X18" s="14">
        <f t="shared" si="21"/>
        <v>14715.639717408536</v>
      </c>
      <c r="Y18" s="15">
        <f t="shared" si="22"/>
        <v>2.3428920914986127</v>
      </c>
      <c r="Z18" s="14">
        <f t="shared" si="23"/>
        <v>44211.080971071104</v>
      </c>
      <c r="AA18" s="13">
        <f t="shared" si="24"/>
        <v>9.3389586602160612</v>
      </c>
      <c r="AC18">
        <f t="shared" si="25"/>
        <v>5860.9913263150647</v>
      </c>
      <c r="AD18">
        <f t="shared" si="26"/>
        <v>7.6545595363120524</v>
      </c>
    </row>
    <row r="19" spans="1:30" ht="12" customHeight="1">
      <c r="B19" s="8">
        <f t="shared" si="27"/>
        <v>234.8661205520356</v>
      </c>
      <c r="C19">
        <f t="shared" si="0"/>
        <v>845.51803398732818</v>
      </c>
      <c r="D19">
        <f t="shared" si="1"/>
        <v>15133.189171467919</v>
      </c>
      <c r="E19">
        <f t="shared" si="2"/>
        <v>0.43216270713978133</v>
      </c>
      <c r="F19">
        <f t="shared" si="3"/>
        <v>2.7498052596033773E-2</v>
      </c>
      <c r="G19" s="7">
        <f t="shared" si="4"/>
        <v>22906.416428408451</v>
      </c>
      <c r="H19" s="8">
        <f t="shared" si="5"/>
        <v>15.716120464549372</v>
      </c>
      <c r="I19" s="7">
        <f t="shared" si="6"/>
        <v>22906.416428408451</v>
      </c>
      <c r="J19" s="7">
        <f t="shared" si="7"/>
        <v>52777.222802062039</v>
      </c>
      <c r="K19" s="7">
        <f t="shared" si="8"/>
        <v>70746.947455847243</v>
      </c>
      <c r="L19" s="10">
        <f t="shared" si="9"/>
        <v>0.75840107551149638</v>
      </c>
      <c r="M19">
        <f t="shared" si="10"/>
        <v>37265.499399371532</v>
      </c>
      <c r="N19">
        <f t="shared" si="11"/>
        <v>0.35832210960934163</v>
      </c>
      <c r="O19">
        <f t="shared" si="12"/>
        <v>115095.27630230131</v>
      </c>
      <c r="P19" s="7">
        <f t="shared" si="13"/>
        <v>14359.082970963082</v>
      </c>
      <c r="Q19" s="8">
        <f t="shared" si="14"/>
        <v>2.2860938118254648</v>
      </c>
      <c r="R19" s="7">
        <f t="shared" si="15"/>
        <v>44348.328846454067</v>
      </c>
      <c r="S19">
        <f t="shared" si="16"/>
        <v>9.3679503113191558</v>
      </c>
      <c r="T19" s="13">
        <f t="shared" si="17"/>
        <v>2.7498052596033773E-2</v>
      </c>
      <c r="U19" s="13">
        <f t="shared" si="18"/>
        <v>22906.416428408451</v>
      </c>
      <c r="V19" s="14">
        <f t="shared" si="19"/>
        <v>52777.222802062039</v>
      </c>
      <c r="W19" s="14">
        <f t="shared" si="20"/>
        <v>70746.947455847243</v>
      </c>
      <c r="X19" s="14">
        <f t="shared" si="21"/>
        <v>14359.082970963082</v>
      </c>
      <c r="Y19" s="15">
        <f t="shared" si="22"/>
        <v>2.2860938118254648</v>
      </c>
      <c r="Z19" s="14">
        <f t="shared" si="23"/>
        <v>44348.328846454067</v>
      </c>
      <c r="AA19" s="13">
        <f t="shared" si="24"/>
        <v>9.3679503113191558</v>
      </c>
      <c r="AC19">
        <f t="shared" si="25"/>
        <v>5931.3880486477819</v>
      </c>
      <c r="AD19">
        <f t="shared" si="26"/>
        <v>7.53541017690568</v>
      </c>
    </row>
    <row r="20" spans="1:30" ht="12" customHeight="1">
      <c r="B20" s="8">
        <f t="shared" si="27"/>
        <v>241.2661205520356</v>
      </c>
      <c r="C20">
        <f t="shared" si="0"/>
        <v>868.55803398732814</v>
      </c>
      <c r="D20">
        <f t="shared" si="1"/>
        <v>15969.17184598655</v>
      </c>
      <c r="E20">
        <f t="shared" si="2"/>
        <v>0.40953908337104311</v>
      </c>
      <c r="F20">
        <f t="shared" si="3"/>
        <v>2.6529640029546511E-2</v>
      </c>
      <c r="G20" s="7">
        <f t="shared" si="4"/>
        <v>23320.534714348178</v>
      </c>
      <c r="H20" s="8">
        <f t="shared" si="5"/>
        <v>15.437038833355164</v>
      </c>
      <c r="I20" s="7">
        <f t="shared" si="6"/>
        <v>23320.534714348178</v>
      </c>
      <c r="J20" s="7">
        <f t="shared" si="7"/>
        <v>55195.522958749913</v>
      </c>
      <c r="K20" s="7">
        <f t="shared" si="8"/>
        <v>73988.636673927496</v>
      </c>
      <c r="L20" s="10">
        <f t="shared" si="9"/>
        <v>0.77906717614731891</v>
      </c>
      <c r="M20">
        <f t="shared" si="10"/>
        <v>37265.499399371532</v>
      </c>
      <c r="N20">
        <f t="shared" si="11"/>
        <v>0.35832210960934163</v>
      </c>
      <c r="O20">
        <f t="shared" si="12"/>
        <v>118231.57270215404</v>
      </c>
      <c r="P20" s="7">
        <f t="shared" si="13"/>
        <v>13944.964685023355</v>
      </c>
      <c r="Q20" s="8">
        <f t="shared" si="14"/>
        <v>2.2201289912997373</v>
      </c>
      <c r="R20" s="7">
        <f t="shared" si="15"/>
        <v>44242.936028226541</v>
      </c>
      <c r="S20">
        <f t="shared" si="16"/>
        <v>9.3456875855297881</v>
      </c>
      <c r="T20" s="13">
        <f t="shared" si="17"/>
        <v>2.6529640029546511E-2</v>
      </c>
      <c r="U20" s="13">
        <f t="shared" si="18"/>
        <v>23320.534714348178</v>
      </c>
      <c r="V20" s="14">
        <f t="shared" si="19"/>
        <v>55195.522958749913</v>
      </c>
      <c r="W20" s="14">
        <f t="shared" si="20"/>
        <v>73988.636673927496</v>
      </c>
      <c r="X20" s="14">
        <f t="shared" si="21"/>
        <v>13944.964685023355</v>
      </c>
      <c r="Y20" s="15">
        <f t="shared" si="22"/>
        <v>2.2201289912997373</v>
      </c>
      <c r="Z20" s="14">
        <f t="shared" si="23"/>
        <v>44242.936028226541</v>
      </c>
      <c r="AA20" s="13">
        <f t="shared" si="24"/>
        <v>9.3456875855297881</v>
      </c>
      <c r="AC20">
        <f t="shared" si="25"/>
        <v>5984.8180578013944</v>
      </c>
      <c r="AD20">
        <f t="shared" si="26"/>
        <v>7.4015988734970586</v>
      </c>
    </row>
    <row r="21" spans="1:30" ht="12" customHeight="1">
      <c r="B21" s="8">
        <f t="shared" si="27"/>
        <v>247.66612055203561</v>
      </c>
      <c r="C21">
        <f t="shared" si="0"/>
        <v>891.59803398732822</v>
      </c>
      <c r="D21">
        <f t="shared" si="1"/>
        <v>16827.628483219876</v>
      </c>
      <c r="E21">
        <f t="shared" si="2"/>
        <v>0.38864656457810065</v>
      </c>
      <c r="F21">
        <f t="shared" si="3"/>
        <v>2.5681564149858144E-2</v>
      </c>
      <c r="G21" s="7">
        <f t="shared" si="4"/>
        <v>23788.613965970162</v>
      </c>
      <c r="H21" s="8">
        <f t="shared" si="5"/>
        <v>15.133290258734004</v>
      </c>
      <c r="I21" s="7">
        <f t="shared" si="6"/>
        <v>23788.613965970166</v>
      </c>
      <c r="J21" s="7">
        <f t="shared" si="7"/>
        <v>57796.926933108298</v>
      </c>
      <c r="K21" s="7">
        <f t="shared" si="8"/>
        <v>77475.773368777882</v>
      </c>
      <c r="L21" s="10">
        <f t="shared" si="9"/>
        <v>0.79973327678314132</v>
      </c>
      <c r="M21">
        <f t="shared" si="10"/>
        <v>37265.499399371532</v>
      </c>
      <c r="N21">
        <f t="shared" si="11"/>
        <v>0.35832210960934163</v>
      </c>
      <c r="O21">
        <f t="shared" si="12"/>
        <v>121367.86910200678</v>
      </c>
      <c r="P21" s="7">
        <f t="shared" si="13"/>
        <v>13476.88543340137</v>
      </c>
      <c r="Q21" s="8">
        <f t="shared" si="14"/>
        <v>2.1455722785835203</v>
      </c>
      <c r="R21" s="7">
        <f t="shared" si="15"/>
        <v>43892.095733228896</v>
      </c>
      <c r="S21">
        <f t="shared" si="16"/>
        <v>9.2715775900409891</v>
      </c>
      <c r="T21" s="13">
        <f t="shared" si="17"/>
        <v>2.5681564149858147E-2</v>
      </c>
      <c r="U21" s="13">
        <f t="shared" si="18"/>
        <v>23788.613965970166</v>
      </c>
      <c r="V21" s="14">
        <f t="shared" si="19"/>
        <v>57796.926933108312</v>
      </c>
      <c r="W21" s="14">
        <f t="shared" si="20"/>
        <v>77475.773368777896</v>
      </c>
      <c r="X21" s="14">
        <f t="shared" si="21"/>
        <v>13476.885433401367</v>
      </c>
      <c r="Y21" s="15">
        <f t="shared" si="22"/>
        <v>2.1455722785835194</v>
      </c>
      <c r="Z21" s="14">
        <f t="shared" si="23"/>
        <v>43892.095733228882</v>
      </c>
      <c r="AA21" s="13">
        <f t="shared" si="24"/>
        <v>9.2715775900409856</v>
      </c>
      <c r="AC21">
        <f t="shared" si="25"/>
        <v>6022.6909443387749</v>
      </c>
      <c r="AD21">
        <f t="shared" si="26"/>
        <v>7.2559605077449074</v>
      </c>
    </row>
    <row r="22" spans="1:30" ht="12" customHeight="1">
      <c r="B22" s="8">
        <f t="shared" si="27"/>
        <v>254.06612055203561</v>
      </c>
      <c r="C22">
        <f t="shared" si="0"/>
        <v>914.63803398732819</v>
      </c>
      <c r="D22">
        <f t="shared" si="1"/>
        <v>17708.559083167904</v>
      </c>
      <c r="E22">
        <f t="shared" si="2"/>
        <v>0.36931293897403045</v>
      </c>
      <c r="F22">
        <f t="shared" si="3"/>
        <v>2.4936318752731224E-2</v>
      </c>
      <c r="G22" s="7">
        <f t="shared" si="4"/>
        <v>24307.501318318275</v>
      </c>
      <c r="H22" s="8">
        <f t="shared" si="5"/>
        <v>14.810242948694276</v>
      </c>
      <c r="I22" s="7">
        <f t="shared" si="6"/>
        <v>24307.501318318271</v>
      </c>
      <c r="J22" s="7">
        <f t="shared" si="7"/>
        <v>60583.740216137019</v>
      </c>
      <c r="K22" s="7">
        <f t="shared" si="8"/>
        <v>81211.448010907538</v>
      </c>
      <c r="L22" s="10">
        <f t="shared" si="9"/>
        <v>0.82039937741896385</v>
      </c>
      <c r="M22">
        <f t="shared" si="10"/>
        <v>37265.499399371532</v>
      </c>
      <c r="N22">
        <f t="shared" si="11"/>
        <v>0.35832210960934163</v>
      </c>
      <c r="O22">
        <f t="shared" si="12"/>
        <v>124504.16550185953</v>
      </c>
      <c r="P22" s="7">
        <f t="shared" si="13"/>
        <v>12957.998081053258</v>
      </c>
      <c r="Q22" s="8">
        <f t="shared" si="14"/>
        <v>2.0629269794414578</v>
      </c>
      <c r="R22" s="7">
        <f t="shared" si="15"/>
        <v>43292.717490951996</v>
      </c>
      <c r="S22">
        <f t="shared" si="16"/>
        <v>9.1449675071497882</v>
      </c>
      <c r="T22" s="13">
        <f t="shared" si="17"/>
        <v>2.493631875273122E-2</v>
      </c>
      <c r="U22" s="13">
        <f t="shared" si="18"/>
        <v>24307.501318318271</v>
      </c>
      <c r="V22" s="14">
        <f t="shared" si="19"/>
        <v>60583.740216137005</v>
      </c>
      <c r="W22" s="14">
        <f t="shared" si="20"/>
        <v>81211.448010907508</v>
      </c>
      <c r="X22" s="14">
        <f t="shared" si="21"/>
        <v>12957.998081053262</v>
      </c>
      <c r="Y22" s="15">
        <f t="shared" si="22"/>
        <v>2.0629269794414586</v>
      </c>
      <c r="Z22" s="14">
        <f t="shared" si="23"/>
        <v>43292.717490952025</v>
      </c>
      <c r="AA22" s="13">
        <f t="shared" si="24"/>
        <v>9.1449675071497936</v>
      </c>
      <c r="AC22">
        <f t="shared" si="25"/>
        <v>6046.437296114158</v>
      </c>
      <c r="AD22">
        <f t="shared" si="26"/>
        <v>7.1010689749912395</v>
      </c>
    </row>
    <row r="23" spans="1:30" ht="12" customHeight="1">
      <c r="B23" s="8">
        <f t="shared" si="27"/>
        <v>260.46612055203559</v>
      </c>
      <c r="C23">
        <f t="shared" si="0"/>
        <v>937.67803398732815</v>
      </c>
      <c r="D23">
        <f t="shared" si="1"/>
        <v>18611.963645830619</v>
      </c>
      <c r="E23">
        <f t="shared" si="2"/>
        <v>0.35138688880176622</v>
      </c>
      <c r="F23">
        <f t="shared" si="3"/>
        <v>2.4279298099950723E-2</v>
      </c>
      <c r="G23" s="7">
        <f t="shared" si="4"/>
        <v>24874.426435737649</v>
      </c>
      <c r="H23" s="8">
        <f t="shared" si="5"/>
        <v>14.472695518429315</v>
      </c>
      <c r="I23" s="7">
        <f t="shared" si="6"/>
        <v>24874.426435737652</v>
      </c>
      <c r="J23" s="7">
        <f t="shared" si="7"/>
        <v>63558.453929347859</v>
      </c>
      <c r="K23" s="7">
        <f t="shared" si="8"/>
        <v>85198.999905292032</v>
      </c>
      <c r="L23" s="10">
        <f t="shared" si="9"/>
        <v>0.84106547805478626</v>
      </c>
      <c r="M23">
        <f t="shared" si="10"/>
        <v>37265.499399371532</v>
      </c>
      <c r="N23">
        <f t="shared" si="11"/>
        <v>0.35832210960934163</v>
      </c>
      <c r="O23">
        <f t="shared" si="12"/>
        <v>127640.46190171226</v>
      </c>
      <c r="P23" s="7">
        <f t="shared" si="13"/>
        <v>12391.072963633884</v>
      </c>
      <c r="Q23" s="8">
        <f t="shared" si="14"/>
        <v>1.9726354117106757</v>
      </c>
      <c r="R23" s="7">
        <f t="shared" si="15"/>
        <v>42441.461996420228</v>
      </c>
      <c r="S23">
        <f t="shared" si="16"/>
        <v>8.9651519564303683</v>
      </c>
      <c r="T23" s="13">
        <f t="shared" si="17"/>
        <v>2.7691813841369161E-2</v>
      </c>
      <c r="U23" s="13">
        <f t="shared" si="18"/>
        <v>28370.588945101208</v>
      </c>
      <c r="V23" s="14">
        <f t="shared" si="19"/>
        <v>72491.752727411484</v>
      </c>
      <c r="W23" s="14">
        <f t="shared" si="20"/>
        <v>97173.931269988578</v>
      </c>
      <c r="X23" s="14">
        <f t="shared" si="21"/>
        <v>8894.9104542703244</v>
      </c>
      <c r="Y23" s="15">
        <f t="shared" si="22"/>
        <v>1.4159173393303834</v>
      </c>
      <c r="Z23" s="14">
        <f t="shared" si="23"/>
        <v>30466.530631723683</v>
      </c>
      <c r="AA23" s="13">
        <f t="shared" si="24"/>
        <v>6.4356189407820441</v>
      </c>
      <c r="AC23">
        <f t="shared" si="25"/>
        <v>5310.9963798493936</v>
      </c>
      <c r="AD23">
        <f t="shared" si="26"/>
        <v>6.0840909508462344</v>
      </c>
    </row>
    <row r="24" spans="1:30" ht="12" customHeight="1">
      <c r="B24" s="8">
        <f t="shared" si="27"/>
        <v>266.86612055203557</v>
      </c>
      <c r="C24">
        <f t="shared" si="0"/>
        <v>960.71803398732811</v>
      </c>
      <c r="D24">
        <f t="shared" si="1"/>
        <v>19537.842171208038</v>
      </c>
      <c r="E24">
        <f t="shared" si="2"/>
        <v>0.33473502051509441</v>
      </c>
      <c r="F24">
        <f t="shared" si="3"/>
        <v>2.369826048292141E-2</v>
      </c>
      <c r="G24" s="7">
        <f t="shared" si="4"/>
        <v>25486.947140229076</v>
      </c>
      <c r="H24" s="8">
        <f t="shared" si="5"/>
        <v>14.124877256553383</v>
      </c>
      <c r="I24" s="7">
        <f t="shared" si="6"/>
        <v>25486.94714022908</v>
      </c>
      <c r="J24" s="7">
        <f t="shared" si="7"/>
        <v>66723.722565752047</v>
      </c>
      <c r="K24" s="7">
        <f t="shared" si="8"/>
        <v>89441.987353555029</v>
      </c>
      <c r="L24" s="10">
        <f t="shared" si="9"/>
        <v>0.86173157869060857</v>
      </c>
      <c r="M24">
        <f t="shared" si="10"/>
        <v>37265.499399371532</v>
      </c>
      <c r="N24">
        <f t="shared" si="11"/>
        <v>0.35832210960934163</v>
      </c>
      <c r="O24">
        <f t="shared" si="12"/>
        <v>130776.75830156497</v>
      </c>
      <c r="P24" s="7">
        <f t="shared" si="13"/>
        <v>11778.552259142456</v>
      </c>
      <c r="Q24" s="8">
        <f t="shared" si="14"/>
        <v>1.8750875435945822</v>
      </c>
      <c r="R24" s="7">
        <f t="shared" si="15"/>
        <v>41334.770948009944</v>
      </c>
      <c r="S24">
        <f t="shared" si="16"/>
        <v>8.7313792975465567</v>
      </c>
      <c r="T24" s="13">
        <f t="shared" si="17"/>
        <v>3.2988027243696191E-2</v>
      </c>
      <c r="U24" s="13">
        <f t="shared" si="18"/>
        <v>35477.882742762224</v>
      </c>
      <c r="V24" s="14">
        <f t="shared" si="19"/>
        <v>92879.558792347088</v>
      </c>
      <c r="W24" s="14">
        <f t="shared" si="20"/>
        <v>124503.43001655105</v>
      </c>
      <c r="X24" s="14">
        <f t="shared" si="21"/>
        <v>1787.6166566093088</v>
      </c>
      <c r="Y24" s="15">
        <f t="shared" si="22"/>
        <v>0.28453015380470525</v>
      </c>
      <c r="Z24" s="14">
        <f t="shared" si="23"/>
        <v>6273.3282850139221</v>
      </c>
      <c r="AA24" s="13">
        <f t="shared" si="24"/>
        <v>1.3251508949542377</v>
      </c>
      <c r="AC24">
        <f t="shared" si="25"/>
        <v>4351.3985582560281</v>
      </c>
      <c r="AD24">
        <f t="shared" si="26"/>
        <v>4.8652633733133968</v>
      </c>
    </row>
    <row r="25" spans="1:30" ht="12" customHeight="1">
      <c r="B25" s="8">
        <f t="shared" si="27"/>
        <v>273.26612055203555</v>
      </c>
      <c r="C25">
        <f t="shared" si="0"/>
        <v>983.75803398732796</v>
      </c>
      <c r="D25">
        <f t="shared" si="1"/>
        <v>20486.194659300152</v>
      </c>
      <c r="E25">
        <f t="shared" si="2"/>
        <v>0.31923937601710844</v>
      </c>
      <c r="F25">
        <f t="shared" si="3"/>
        <v>2.318290086500796E-2</v>
      </c>
      <c r="G25" s="7">
        <f t="shared" si="4"/>
        <v>26142.903847035468</v>
      </c>
      <c r="H25" s="8">
        <f t="shared" si="5"/>
        <v>13.770467202357976</v>
      </c>
      <c r="I25" s="7">
        <f t="shared" si="6"/>
        <v>26142.903847035464</v>
      </c>
      <c r="J25" s="7">
        <f t="shared" si="7"/>
        <v>70082.34485873628</v>
      </c>
      <c r="K25" s="7">
        <f t="shared" si="8"/>
        <v>93944.162009029867</v>
      </c>
      <c r="L25" s="10">
        <f t="shared" si="9"/>
        <v>0.88239767932643098</v>
      </c>
      <c r="M25">
        <f t="shared" si="10"/>
        <v>37265.499399371532</v>
      </c>
      <c r="N25">
        <f t="shared" si="11"/>
        <v>0.35832210960934163</v>
      </c>
      <c r="O25">
        <f t="shared" si="12"/>
        <v>133913.05470141771</v>
      </c>
      <c r="P25" s="7">
        <f t="shared" si="13"/>
        <v>11122.595552336064</v>
      </c>
      <c r="Q25" s="8">
        <f t="shared" si="14"/>
        <v>1.7706282327520415</v>
      </c>
      <c r="R25" s="7">
        <f t="shared" si="15"/>
        <v>39968.892692387846</v>
      </c>
      <c r="S25">
        <f t="shared" si="16"/>
        <v>8.4428570473783378</v>
      </c>
      <c r="T25" s="13">
        <f t="shared" si="17"/>
        <v>3.77635144065087E-2</v>
      </c>
      <c r="U25" s="13">
        <f t="shared" si="18"/>
        <v>42585.176540423272</v>
      </c>
      <c r="V25" s="14">
        <f t="shared" si="19"/>
        <v>114159.81352486748</v>
      </c>
      <c r="W25" s="14">
        <f t="shared" si="20"/>
        <v>153029.24064995639</v>
      </c>
      <c r="X25" s="14">
        <f t="shared" si="21"/>
        <v>-5319.6771410517395</v>
      </c>
      <c r="Y25" s="15">
        <f t="shared" si="22"/>
        <v>-0.84674609556887437</v>
      </c>
      <c r="Z25" s="14">
        <f t="shared" si="23"/>
        <v>-19116.185948538681</v>
      </c>
      <c r="AA25" s="13">
        <f t="shared" si="24"/>
        <v>-4.0380209303459784</v>
      </c>
      <c r="AC25">
        <f t="shared" si="25"/>
        <v>3712.1067304248618</v>
      </c>
      <c r="AD25">
        <f t="shared" si="26"/>
        <v>4.0532705860036069</v>
      </c>
    </row>
    <row r="26" spans="1:30" ht="12" customHeight="1">
      <c r="B26" s="8">
        <f t="shared" si="27"/>
        <v>279.66612055203552</v>
      </c>
      <c r="C26">
        <f t="shared" si="0"/>
        <v>1006.7980339873279</v>
      </c>
      <c r="D26">
        <f t="shared" si="1"/>
        <v>21457.021110106965</v>
      </c>
      <c r="E26">
        <f t="shared" si="2"/>
        <v>0.30479533791945818</v>
      </c>
      <c r="F26">
        <f t="shared" si="3"/>
        <v>2.2724508505567835E-2</v>
      </c>
      <c r="G26" s="7">
        <f t="shared" si="4"/>
        <v>26840.381213987574</v>
      </c>
      <c r="H26" s="8">
        <f t="shared" si="5"/>
        <v>13.412626189243165</v>
      </c>
      <c r="I26" s="7">
        <f t="shared" si="6"/>
        <v>26840.381213987577</v>
      </c>
      <c r="J26" s="7">
        <f t="shared" si="7"/>
        <v>73637.247277768198</v>
      </c>
      <c r="K26" s="7">
        <f t="shared" si="8"/>
        <v>98709.44675304048</v>
      </c>
      <c r="L26" s="10">
        <f t="shared" si="9"/>
        <v>0.9030637799622534</v>
      </c>
      <c r="M26">
        <f t="shared" si="10"/>
        <v>37265.499399371532</v>
      </c>
      <c r="N26">
        <f t="shared" si="11"/>
        <v>0.35832210960934163</v>
      </c>
      <c r="O26">
        <f t="shared" si="12"/>
        <v>137049.35110127044</v>
      </c>
      <c r="P26" s="7">
        <f t="shared" si="13"/>
        <v>10425.118185383959</v>
      </c>
      <c r="Q26" s="8">
        <f t="shared" si="14"/>
        <v>1.6595633190730101</v>
      </c>
      <c r="R26" s="7">
        <f t="shared" si="15"/>
        <v>38339.90434822996</v>
      </c>
      <c r="S26">
        <f t="shared" si="16"/>
        <v>8.0987565533411345</v>
      </c>
      <c r="T26" s="13">
        <f t="shared" si="17"/>
        <v>4.2072314690969628E-2</v>
      </c>
      <c r="U26" s="13">
        <f t="shared" si="18"/>
        <v>49692.470338084328</v>
      </c>
      <c r="V26" s="14">
        <f t="shared" si="19"/>
        <v>136332.51692497259</v>
      </c>
      <c r="W26" s="14">
        <f t="shared" si="20"/>
        <v>182751.36317020454</v>
      </c>
      <c r="X26" s="14">
        <f t="shared" si="21"/>
        <v>-12426.970938712795</v>
      </c>
      <c r="Y26" s="15">
        <f t="shared" si="22"/>
        <v>-1.9783525701676801</v>
      </c>
      <c r="Z26" s="14">
        <f t="shared" si="23"/>
        <v>-45702.012068934098</v>
      </c>
      <c r="AA26" s="13">
        <f t="shared" si="24"/>
        <v>-9.6538965351185979</v>
      </c>
      <c r="AC26">
        <f t="shared" si="25"/>
        <v>3255.6850562377808</v>
      </c>
      <c r="AD26">
        <f t="shared" si="26"/>
        <v>3.4735492580005767</v>
      </c>
    </row>
    <row r="27" spans="1:30" ht="12" customHeight="1">
      <c r="B27" s="8">
        <f t="shared" si="27"/>
        <v>286.0661205520355</v>
      </c>
      <c r="C27">
        <f t="shared" si="0"/>
        <v>1029.8380339873279</v>
      </c>
      <c r="D27">
        <f t="shared" si="1"/>
        <v>22450.321523628478</v>
      </c>
      <c r="E27">
        <f t="shared" si="2"/>
        <v>0.2913098591090017</v>
      </c>
      <c r="F27">
        <f t="shared" si="3"/>
        <v>2.2315691197117557E-2</v>
      </c>
      <c r="G27" s="7">
        <f t="shared" si="4"/>
        <v>27577.675728291455</v>
      </c>
      <c r="H27" s="8">
        <f t="shared" si="5"/>
        <v>13.05403702425445</v>
      </c>
      <c r="I27" s="7">
        <f t="shared" si="6"/>
        <v>27577.675728291459</v>
      </c>
      <c r="J27" s="7">
        <f t="shared" si="7"/>
        <v>77391.469739551147</v>
      </c>
      <c r="K27" s="7">
        <f t="shared" si="8"/>
        <v>103741.91654095329</v>
      </c>
      <c r="L27" s="10">
        <f t="shared" si="9"/>
        <v>0.92372988059807581</v>
      </c>
      <c r="M27">
        <f t="shared" si="10"/>
        <v>37265.499399371532</v>
      </c>
      <c r="N27">
        <f t="shared" si="11"/>
        <v>0.35832210960934163</v>
      </c>
      <c r="O27">
        <f t="shared" si="12"/>
        <v>140185.64750112317</v>
      </c>
      <c r="P27" s="7">
        <f t="shared" si="13"/>
        <v>9687.8236710800775</v>
      </c>
      <c r="Q27" s="8">
        <f t="shared" si="14"/>
        <v>1.5421647737297015</v>
      </c>
      <c r="R27" s="7">
        <f t="shared" si="15"/>
        <v>36443.73096016988</v>
      </c>
      <c r="S27">
        <f t="shared" si="16"/>
        <v>7.6982170393834899</v>
      </c>
      <c r="T27" s="13">
        <f t="shared" si="17"/>
        <v>4.596203135502365E-2</v>
      </c>
      <c r="U27" s="13">
        <f t="shared" si="18"/>
        <v>56799.764135745383</v>
      </c>
      <c r="V27" s="14">
        <f t="shared" si="19"/>
        <v>159397.66899266237</v>
      </c>
      <c r="W27" s="14">
        <f t="shared" si="20"/>
        <v>213669.79757729539</v>
      </c>
      <c r="X27" s="14">
        <f t="shared" si="21"/>
        <v>-19534.264736373851</v>
      </c>
      <c r="Y27" s="15">
        <f t="shared" si="22"/>
        <v>-3.1107315919848881</v>
      </c>
      <c r="Z27" s="14">
        <f t="shared" si="23"/>
        <v>-73484.150076172227</v>
      </c>
      <c r="AA27" s="13">
        <f t="shared" si="24"/>
        <v>-15.522475919363597</v>
      </c>
      <c r="AC27">
        <f t="shared" si="25"/>
        <v>2913.4864948902286</v>
      </c>
      <c r="AD27">
        <f t="shared" si="26"/>
        <v>3.0389077507179576</v>
      </c>
    </row>
    <row r="28" spans="1:30" ht="12" customHeight="1">
      <c r="B28" s="8">
        <f t="shared" si="27"/>
        <v>292.46612055203548</v>
      </c>
      <c r="C28">
        <f t="shared" si="0"/>
        <v>1052.8780339873279</v>
      </c>
      <c r="D28">
        <f t="shared" si="1"/>
        <v>23466.095899864686</v>
      </c>
      <c r="E28">
        <f t="shared" si="2"/>
        <v>0.27869996048374257</v>
      </c>
      <c r="F28">
        <f t="shared" si="3"/>
        <v>2.1950152021540742E-2</v>
      </c>
      <c r="G28" s="7">
        <f t="shared" si="4"/>
        <v>28353.26820297708</v>
      </c>
      <c r="H28" s="8">
        <f t="shared" si="5"/>
        <v>12.69694898742573</v>
      </c>
      <c r="I28" s="7">
        <f t="shared" si="6"/>
        <v>28353.268202977084</v>
      </c>
      <c r="J28" s="7">
        <f t="shared" si="7"/>
        <v>81348.153195264633</v>
      </c>
      <c r="K28" s="7">
        <f t="shared" si="8"/>
        <v>109045.78176308933</v>
      </c>
      <c r="L28" s="10">
        <f t="shared" si="9"/>
        <v>0.94439598123389812</v>
      </c>
      <c r="M28">
        <f t="shared" si="10"/>
        <v>37265.499399371532</v>
      </c>
      <c r="N28">
        <f t="shared" si="11"/>
        <v>0.35832210960934163</v>
      </c>
      <c r="O28">
        <f t="shared" si="12"/>
        <v>143321.94390097589</v>
      </c>
      <c r="P28" s="7">
        <f t="shared" si="13"/>
        <v>8912.2311963944521</v>
      </c>
      <c r="Q28" s="8">
        <f t="shared" si="14"/>
        <v>1.4186750676697466</v>
      </c>
      <c r="R28" s="7">
        <f t="shared" si="15"/>
        <v>34276.162137886568</v>
      </c>
      <c r="S28">
        <f t="shared" si="16"/>
        <v>7.2403491207564219</v>
      </c>
      <c r="T28" s="13">
        <f t="shared" si="17"/>
        <v>4.9474707001868352E-2</v>
      </c>
      <c r="U28" s="13">
        <f t="shared" si="18"/>
        <v>63907.057933406395</v>
      </c>
      <c r="V28" s="14">
        <f t="shared" si="19"/>
        <v>183355.2697279368</v>
      </c>
      <c r="W28" s="14">
        <f t="shared" si="20"/>
        <v>245784.54387122896</v>
      </c>
      <c r="X28" s="14">
        <f t="shared" si="21"/>
        <v>-26641.558534034863</v>
      </c>
      <c r="Y28" s="15">
        <f t="shared" si="22"/>
        <v>-4.2443282052967923</v>
      </c>
      <c r="Z28" s="14">
        <f t="shared" si="23"/>
        <v>-102462.59997025307</v>
      </c>
      <c r="AA28" s="13">
        <f t="shared" si="24"/>
        <v>-21.64375908308098</v>
      </c>
      <c r="AC28">
        <f t="shared" si="25"/>
        <v>2647.4017710837002</v>
      </c>
      <c r="AD28">
        <f t="shared" si="26"/>
        <v>2.7009417903564579</v>
      </c>
    </row>
    <row r="29" spans="1:30" ht="12" customHeight="1">
      <c r="B29" s="8">
        <f t="shared" si="27"/>
        <v>298.86612055203545</v>
      </c>
      <c r="C29">
        <f t="shared" si="0"/>
        <v>1075.9180339873276</v>
      </c>
      <c r="D29">
        <f t="shared" si="1"/>
        <v>24504.344238815593</v>
      </c>
      <c r="E29">
        <f t="shared" si="2"/>
        <v>0.26689145142029352</v>
      </c>
      <c r="F29">
        <f t="shared" si="3"/>
        <v>2.1622507743188361E-2</v>
      </c>
      <c r="G29" s="7">
        <f t="shared" si="4"/>
        <v>29165.80035113082</v>
      </c>
      <c r="H29" s="8">
        <f t="shared" si="5"/>
        <v>12.34322376433747</v>
      </c>
      <c r="I29" s="7">
        <f t="shared" si="6"/>
        <v>29165.800351130816</v>
      </c>
      <c r="J29" s="7">
        <f t="shared" si="7"/>
        <v>85510.528812666467</v>
      </c>
      <c r="K29" s="7">
        <f t="shared" si="8"/>
        <v>114625.37374352073</v>
      </c>
      <c r="L29" s="10">
        <f t="shared" si="9"/>
        <v>0.96506208186972053</v>
      </c>
      <c r="M29">
        <f t="shared" si="10"/>
        <v>37265.499399371532</v>
      </c>
      <c r="N29">
        <f t="shared" si="11"/>
        <v>0.35832210960934163</v>
      </c>
      <c r="O29">
        <f t="shared" si="12"/>
        <v>146458.24030082862</v>
      </c>
      <c r="P29" s="7">
        <f t="shared" si="13"/>
        <v>8099.6990482407127</v>
      </c>
      <c r="Q29" s="8">
        <f t="shared" si="14"/>
        <v>1.2893108916401985</v>
      </c>
      <c r="R29" s="7">
        <f t="shared" si="15"/>
        <v>31832.866557307891</v>
      </c>
      <c r="S29">
        <f t="shared" si="16"/>
        <v>6.7242378671853231</v>
      </c>
      <c r="T29" s="13">
        <f t="shared" si="17"/>
        <v>5.2647565014377284E-2</v>
      </c>
      <c r="U29" s="13">
        <f t="shared" si="18"/>
        <v>71014.351731067451</v>
      </c>
      <c r="V29" s="14">
        <f t="shared" si="19"/>
        <v>208205.31913079598</v>
      </c>
      <c r="W29" s="14">
        <f t="shared" si="20"/>
        <v>279095.60205200536</v>
      </c>
      <c r="X29" s="14">
        <f t="shared" si="21"/>
        <v>-33748.852331695918</v>
      </c>
      <c r="Y29" s="15">
        <f t="shared" si="22"/>
        <v>-5.3795917650679339</v>
      </c>
      <c r="Z29" s="14">
        <f t="shared" si="23"/>
        <v>-132637.36175117674</v>
      </c>
      <c r="AA29" s="13">
        <f t="shared" si="24"/>
        <v>-28.017746026270768</v>
      </c>
      <c r="AC29">
        <f t="shared" si="25"/>
        <v>2434.577895572294</v>
      </c>
      <c r="AD29">
        <f t="shared" si="26"/>
        <v>2.430624785884727</v>
      </c>
    </row>
    <row r="30" spans="1:30" ht="12" customHeight="1" thickBot="1">
      <c r="B30" s="8">
        <f t="shared" si="27"/>
        <v>305.26612055203543</v>
      </c>
      <c r="C30">
        <f t="shared" si="0"/>
        <v>1098.9580339873276</v>
      </c>
      <c r="D30">
        <f t="shared" si="1"/>
        <v>25565.066540481195</v>
      </c>
      <c r="E30">
        <f t="shared" si="2"/>
        <v>0.25581783601635416</v>
      </c>
      <c r="F30">
        <f t="shared" si="3"/>
        <v>2.132814038642912E-2</v>
      </c>
      <c r="G30" s="7">
        <f t="shared" si="4"/>
        <v>30014.054761309249</v>
      </c>
      <c r="H30" s="8">
        <f t="shared" si="5"/>
        <v>11.994380728060495</v>
      </c>
      <c r="I30" s="7">
        <f t="shared" si="6"/>
        <v>30014.054761309249</v>
      </c>
      <c r="J30" s="7">
        <f t="shared" si="7"/>
        <v>89881.9085189982</v>
      </c>
      <c r="K30" s="7">
        <f t="shared" si="8"/>
        <v>120485.13206300027</v>
      </c>
      <c r="L30" s="10">
        <f t="shared" si="9"/>
        <v>0.98572818250554295</v>
      </c>
      <c r="M30">
        <f t="shared" si="10"/>
        <v>37265.499399371532</v>
      </c>
      <c r="N30">
        <f t="shared" si="11"/>
        <v>0.35832210960934163</v>
      </c>
      <c r="O30">
        <f t="shared" si="12"/>
        <v>149594.53670068135</v>
      </c>
      <c r="P30" s="7">
        <f t="shared" si="13"/>
        <v>7251.444638062283</v>
      </c>
      <c r="Q30" s="8">
        <f t="shared" si="14"/>
        <v>1.1542663351954221</v>
      </c>
      <c r="R30" s="7">
        <f>$O30-$K30</f>
        <v>29109.404637681073</v>
      </c>
      <c r="S30">
        <f t="shared" si="16"/>
        <v>6.1489454807198092</v>
      </c>
      <c r="T30" s="13">
        <f t="shared" si="17"/>
        <v>5.5513639736655594E-2</v>
      </c>
      <c r="U30" s="13">
        <f t="shared" si="18"/>
        <v>78121.645528728506</v>
      </c>
      <c r="V30" s="14">
        <f t="shared" si="19"/>
        <v>233947.81720123987</v>
      </c>
      <c r="W30" s="14">
        <f t="shared" si="20"/>
        <v>313602.97211962449</v>
      </c>
      <c r="X30" s="14">
        <f t="shared" si="21"/>
        <v>-40856.146129356974</v>
      </c>
      <c r="Y30" s="15">
        <f t="shared" si="22"/>
        <v>-6.5169775679938233</v>
      </c>
      <c r="Z30" s="14">
        <f t="shared" si="23"/>
        <v>-164008.43541894315</v>
      </c>
      <c r="AA30" s="13">
        <f t="shared" si="24"/>
        <v>-34.644436748932939</v>
      </c>
      <c r="AC30">
        <f t="shared" si="25"/>
        <v>2260.4782891204832</v>
      </c>
      <c r="AD30">
        <f t="shared" si="26"/>
        <v>2.2094931859518128</v>
      </c>
    </row>
    <row r="31" spans="1:30" s="6" customFormat="1" ht="13.5" thickBot="1">
      <c r="A31" s="5"/>
      <c r="B31" s="6" t="s">
        <v>31</v>
      </c>
      <c r="D31" s="6" t="s">
        <v>32</v>
      </c>
      <c r="G31" s="6" t="s">
        <v>33</v>
      </c>
      <c r="J31" s="6" t="s">
        <v>34</v>
      </c>
      <c r="O31" s="6" t="s">
        <v>35</v>
      </c>
    </row>
    <row r="32" spans="1:30" s="1" customFormat="1" ht="23.85" customHeight="1">
      <c r="A32" s="1" t="s">
        <v>3</v>
      </c>
      <c r="B32" s="1" t="s">
        <v>4</v>
      </c>
      <c r="D32" s="1" t="s">
        <v>8</v>
      </c>
      <c r="E32" s="1" t="s">
        <v>96</v>
      </c>
      <c r="G32" s="1" t="s">
        <v>71</v>
      </c>
      <c r="J32" s="1" t="s">
        <v>13</v>
      </c>
      <c r="K32" s="1" t="s">
        <v>14</v>
      </c>
      <c r="L32" s="1" t="s">
        <v>15</v>
      </c>
      <c r="M32" s="11" t="str">
        <f>SL!M32</f>
        <v>MDD</v>
      </c>
      <c r="N32" s="11"/>
      <c r="O32" s="1" t="s">
        <v>58</v>
      </c>
      <c r="P32" s="1" t="s">
        <v>16</v>
      </c>
      <c r="Q32" s="1" t="s">
        <v>70</v>
      </c>
      <c r="R32" s="1" t="s">
        <v>60</v>
      </c>
      <c r="S32" s="1" t="s">
        <v>94</v>
      </c>
    </row>
    <row r="33" spans="1:20">
      <c r="A33">
        <f>SL!A33</f>
        <v>540</v>
      </c>
      <c r="B33">
        <f>SL!B33</f>
        <v>65</v>
      </c>
      <c r="D33">
        <f>SL!D33</f>
        <v>360000</v>
      </c>
      <c r="E33">
        <f>SL!$E$33</f>
        <v>90000</v>
      </c>
      <c r="G33">
        <v>25000</v>
      </c>
      <c r="J33">
        <f>SL!J33</f>
        <v>1.7999999999999999E-2</v>
      </c>
      <c r="K33">
        <f>SL!K33</f>
        <v>0.8</v>
      </c>
      <c r="L33">
        <f>SL!L33</f>
        <v>1.5</v>
      </c>
      <c r="M33">
        <f>SL!M33</f>
        <v>0.83</v>
      </c>
      <c r="O33">
        <f>SL!O33</f>
        <v>26000</v>
      </c>
      <c r="P33">
        <f>SL!P33</f>
        <v>4</v>
      </c>
      <c r="Q33">
        <f>SL!Q33</f>
        <v>1</v>
      </c>
      <c r="R33">
        <f>SL!R33</f>
        <v>0.8</v>
      </c>
      <c r="S33">
        <f>SL!$S$33</f>
        <v>0.6</v>
      </c>
    </row>
    <row r="34" spans="1:20" s="3" customFormat="1" ht="20.85" customHeight="1">
      <c r="A34" s="3" t="s">
        <v>5</v>
      </c>
      <c r="D34" s="3" t="s">
        <v>9</v>
      </c>
      <c r="E34" s="3" t="s">
        <v>10</v>
      </c>
      <c r="F34" s="3" t="s">
        <v>72</v>
      </c>
      <c r="G34" s="3" t="s">
        <v>6</v>
      </c>
      <c r="H34" s="3" t="s">
        <v>7</v>
      </c>
      <c r="J34" s="3" t="s">
        <v>30</v>
      </c>
      <c r="O34" s="3" t="s">
        <v>59</v>
      </c>
      <c r="Q34" s="3" t="s">
        <v>61</v>
      </c>
      <c r="R34" s="3" t="s">
        <v>62</v>
      </c>
      <c r="T34" s="3" t="s">
        <v>103</v>
      </c>
    </row>
    <row r="35" spans="1:20">
      <c r="A35">
        <f>B33^2/A33</f>
        <v>7.8240740740740744</v>
      </c>
      <c r="D35">
        <f>D33/A33</f>
        <v>666.66666666666663</v>
      </c>
      <c r="E35">
        <f>D35*9.81</f>
        <v>6540</v>
      </c>
      <c r="F35">
        <f>$G$33*0.3048</f>
        <v>7620</v>
      </c>
      <c r="G35">
        <f>288-6.5*$F$35/1000</f>
        <v>238.47</v>
      </c>
      <c r="H35">
        <f>G35/288</f>
        <v>0.82802083333333332</v>
      </c>
      <c r="J35">
        <f>1/(3.1415*$A$35*$K$33)</f>
        <v>5.0855742037073826E-2</v>
      </c>
      <c r="O35">
        <f>$O$33*$P$33</f>
        <v>104000</v>
      </c>
      <c r="Q35">
        <f>$O$35*$Q$33</f>
        <v>104000</v>
      </c>
      <c r="R35">
        <f>$Q$35*$R$33</f>
        <v>83200</v>
      </c>
      <c r="T35">
        <f>R35*G37</f>
        <v>37265.499399371532</v>
      </c>
    </row>
    <row r="36" spans="1:20" s="3" customFormat="1" ht="20.85" customHeight="1">
      <c r="G36" s="3" t="s">
        <v>11</v>
      </c>
      <c r="H36" s="3" t="s">
        <v>12</v>
      </c>
      <c r="J36" s="3" t="s">
        <v>63</v>
      </c>
      <c r="M36" s="3" t="s">
        <v>86</v>
      </c>
    </row>
    <row r="37" spans="1:20">
      <c r="G37">
        <f>$H$35^4.256</f>
        <v>0.44790263701167704</v>
      </c>
      <c r="H37">
        <f>1.225*$G$37</f>
        <v>0.54868073033930442</v>
      </c>
      <c r="J37">
        <f>340.3*(1-2.255*0.00001*$F$35)^0.5</f>
        <v>309.68590121477922</v>
      </c>
      <c r="M37">
        <f>P57</f>
        <v>24565.052287130344</v>
      </c>
    </row>
    <row r="38" spans="1:20" s="4" customFormat="1" ht="20.100000000000001" customHeight="1"/>
    <row r="39" spans="1:20">
      <c r="A39" t="s">
        <v>21</v>
      </c>
      <c r="B39">
        <f>SQRT(3.1415*$A$35*$K$33/(4*$J$33))</f>
        <v>16.525848004364995</v>
      </c>
      <c r="C39" t="s">
        <v>18</v>
      </c>
      <c r="D39">
        <f>$L$33</f>
        <v>1.5</v>
      </c>
      <c r="E39" t="s">
        <v>22</v>
      </c>
      <c r="F39">
        <f>3.6*SQRT((2/$H$37)*($E$35)*(1/$D39))</f>
        <v>453.83803398732783</v>
      </c>
      <c r="H39" t="s">
        <v>36</v>
      </c>
      <c r="I39">
        <f>$J$33+$J$35*$D39^2</f>
        <v>0.13242541958341611</v>
      </c>
      <c r="K39" t="s">
        <v>26</v>
      </c>
      <c r="L39">
        <f>$D39/$I39</f>
        <v>11.327130430990517</v>
      </c>
      <c r="M39" t="s">
        <v>40</v>
      </c>
      <c r="O39">
        <f>$D$33/$L39</f>
        <v>31782.100700019862</v>
      </c>
      <c r="Q39" t="s">
        <v>46</v>
      </c>
      <c r="R39">
        <f>($O39*$F39*9.81/3.6)/746</f>
        <v>52687.933801862855</v>
      </c>
    </row>
    <row r="40" spans="1:20">
      <c r="C40" t="s">
        <v>17</v>
      </c>
      <c r="D40">
        <f>$D$41*SQRT(3)</f>
        <v>1.0304499017419528</v>
      </c>
      <c r="E40" t="s">
        <v>23</v>
      </c>
      <c r="F40">
        <f>3.6*SQRT((2/$H$37)*($E$35)*(1/$D40))</f>
        <v>547.56171827017602</v>
      </c>
      <c r="H40" t="s">
        <v>37</v>
      </c>
      <c r="I40">
        <f>$J$33+$J$35*$D40^2</f>
        <v>7.2000000000000008E-2</v>
      </c>
      <c r="K40" t="s">
        <v>27</v>
      </c>
      <c r="L40">
        <f>$D40/$I40</f>
        <v>14.311804190860455</v>
      </c>
      <c r="M40" t="s">
        <v>41</v>
      </c>
      <c r="O40">
        <f>$D$33/$L40</f>
        <v>25154.061304856077</v>
      </c>
      <c r="Q40" t="s">
        <v>47</v>
      </c>
      <c r="R40">
        <f>($O40*$F40*9.81/3.6)/746</f>
        <v>50311.686066423492</v>
      </c>
    </row>
    <row r="41" spans="1:20">
      <c r="C41" t="s">
        <v>20</v>
      </c>
      <c r="D41">
        <f>SQRT(3.1415*$A$35*$K$33*$J$33)</f>
        <v>0.59493052815713987</v>
      </c>
      <c r="E41" t="s">
        <v>24</v>
      </c>
      <c r="F41">
        <f>3.6*SQRT((2/$H$37)*($E$35)*(1/$D41))</f>
        <v>720.63174790299263</v>
      </c>
      <c r="H41" t="s">
        <v>39</v>
      </c>
      <c r="I41">
        <f>$J$33+$J$35*$D41^2</f>
        <v>3.6000000000000004E-2</v>
      </c>
      <c r="K41" t="s">
        <v>28</v>
      </c>
      <c r="L41">
        <f>$D41/$I41</f>
        <v>16.525848004364995</v>
      </c>
      <c r="M41" t="s">
        <v>42</v>
      </c>
      <c r="O41">
        <f>$D$33/$L41</f>
        <v>21784.056098356508</v>
      </c>
      <c r="Q41" t="s">
        <v>44</v>
      </c>
      <c r="R41">
        <f>($O41*$F41*9.81/3.6)/746</f>
        <v>57342.921717852856</v>
      </c>
    </row>
    <row r="42" spans="1:20">
      <c r="C42" t="s">
        <v>19</v>
      </c>
      <c r="D42">
        <f>$D$41/SQRT(3)</f>
        <v>0.34348330058065096</v>
      </c>
      <c r="E42" t="s">
        <v>25</v>
      </c>
      <c r="F42">
        <f>3.6*SQRT((2/$H$37)*($E$35)*(1/$D42))</f>
        <v>948.40471632366041</v>
      </c>
      <c r="H42" t="s">
        <v>38</v>
      </c>
      <c r="I42">
        <f>$J$33+$J$35*$D42^2</f>
        <v>2.4E-2</v>
      </c>
      <c r="K42" t="s">
        <v>29</v>
      </c>
      <c r="L42">
        <f>$D42/$I42</f>
        <v>14.311804190860457</v>
      </c>
      <c r="M42" t="s">
        <v>43</v>
      </c>
      <c r="O42">
        <f>$D$33/$L42</f>
        <v>25154.061304856074</v>
      </c>
      <c r="Q42" t="s">
        <v>45</v>
      </c>
      <c r="R42">
        <f>($O42*$F42*9.81/3.6)/746</f>
        <v>87142.396481500633</v>
      </c>
    </row>
    <row r="44" spans="1:20">
      <c r="A44" t="s">
        <v>54</v>
      </c>
      <c r="B44" t="s">
        <v>49</v>
      </c>
      <c r="C44" t="s">
        <v>50</v>
      </c>
      <c r="E44" t="s">
        <v>50</v>
      </c>
    </row>
    <row r="45" spans="1:20">
      <c r="A45">
        <v>0.1</v>
      </c>
      <c r="B45">
        <v>0</v>
      </c>
      <c r="C45">
        <f>$J$33+$J$35*$B45^2</f>
        <v>1.7999999999999999E-2</v>
      </c>
      <c r="E45">
        <f>$J$33+$J$35*$B45^2</f>
        <v>1.7999999999999999E-2</v>
      </c>
    </row>
    <row r="46" spans="1:20">
      <c r="B46">
        <f>B45+$A$45</f>
        <v>0.1</v>
      </c>
      <c r="C46">
        <f t="shared" ref="C46:E63" si="28">$J$33+$J$35*$B46^2</f>
        <v>1.8508557420370737E-2</v>
      </c>
      <c r="E46">
        <f t="shared" si="28"/>
        <v>1.8508557420370737E-2</v>
      </c>
      <c r="H46" s="9"/>
    </row>
    <row r="47" spans="1:20">
      <c r="B47">
        <f t="shared" ref="B47:B63" si="29">B46+$A$45</f>
        <v>0.2</v>
      </c>
      <c r="C47">
        <f t="shared" si="28"/>
        <v>2.0034229681482951E-2</v>
      </c>
      <c r="E47">
        <f t="shared" si="28"/>
        <v>2.0034229681482951E-2</v>
      </c>
      <c r="H47" s="9"/>
      <c r="J47" t="s">
        <v>74</v>
      </c>
      <c r="K47">
        <f>$R$35/$D$33</f>
        <v>0.2311111111111111</v>
      </c>
    </row>
    <row r="48" spans="1:20">
      <c r="B48">
        <f t="shared" si="29"/>
        <v>0.30000000000000004</v>
      </c>
      <c r="C48">
        <f t="shared" si="28"/>
        <v>2.2577016783336644E-2</v>
      </c>
      <c r="E48">
        <f t="shared" si="28"/>
        <v>2.2577016783336644E-2</v>
      </c>
      <c r="H48" s="9"/>
      <c r="J48" t="s">
        <v>75</v>
      </c>
      <c r="K48">
        <f>(1+SQRT(1-1/(($K$47^2)*($B$39^2))))</f>
        <v>1.9651146612052111</v>
      </c>
    </row>
    <row r="49" spans="2:17">
      <c r="B49">
        <f t="shared" si="29"/>
        <v>0.4</v>
      </c>
      <c r="C49">
        <f t="shared" si="28"/>
        <v>2.613691872593181E-2</v>
      </c>
      <c r="E49">
        <f t="shared" si="28"/>
        <v>2.613691872593181E-2</v>
      </c>
      <c r="H49" s="9"/>
      <c r="J49" t="s">
        <v>76</v>
      </c>
      <c r="K49">
        <f>SQRT(($K$47*$E$35)*$K$48/($H$37*$J$33))</f>
        <v>548.39959862719581</v>
      </c>
      <c r="L49" t="s">
        <v>77</v>
      </c>
      <c r="O49" t="s">
        <v>78</v>
      </c>
      <c r="P49">
        <f>$K$49*3.6</f>
        <v>1974.2385550579049</v>
      </c>
    </row>
    <row r="50" spans="2:17">
      <c r="B50">
        <f t="shared" si="29"/>
        <v>0.5</v>
      </c>
      <c r="C50">
        <f t="shared" si="28"/>
        <v>3.0713935509268455E-2</v>
      </c>
      <c r="E50">
        <f t="shared" si="28"/>
        <v>3.0713935509268455E-2</v>
      </c>
      <c r="H50" s="9"/>
    </row>
    <row r="51" spans="2:17">
      <c r="B51">
        <f t="shared" si="29"/>
        <v>0.6</v>
      </c>
      <c r="C51">
        <f t="shared" si="28"/>
        <v>3.6308067133346576E-2</v>
      </c>
      <c r="E51">
        <f t="shared" si="28"/>
        <v>3.6308067133346576E-2</v>
      </c>
      <c r="O51" t="s">
        <v>79</v>
      </c>
      <c r="P51">
        <f>$K$49/$J$37</f>
        <v>1.770825202167855</v>
      </c>
    </row>
    <row r="52" spans="2:17">
      <c r="B52">
        <f t="shared" si="29"/>
        <v>0.7</v>
      </c>
      <c r="C52">
        <f t="shared" si="28"/>
        <v>4.291931359816617E-2</v>
      </c>
      <c r="E52">
        <f t="shared" si="28"/>
        <v>4.291931359816617E-2</v>
      </c>
    </row>
    <row r="53" spans="2:17">
      <c r="B53">
        <f t="shared" si="29"/>
        <v>0.79999999999999993</v>
      </c>
      <c r="C53">
        <f t="shared" si="28"/>
        <v>5.0547674903727247E-2</v>
      </c>
      <c r="E53">
        <f t="shared" si="28"/>
        <v>5.0547674903727247E-2</v>
      </c>
      <c r="J53" t="s">
        <v>80</v>
      </c>
      <c r="K53">
        <f>$M$33*$J$37</f>
        <v>257.03929800826677</v>
      </c>
      <c r="L53" t="s">
        <v>77</v>
      </c>
      <c r="O53" t="s">
        <v>80</v>
      </c>
      <c r="P53">
        <f>$K$53*3.6</f>
        <v>925.34147282976039</v>
      </c>
      <c r="Q53" t="s">
        <v>81</v>
      </c>
    </row>
    <row r="54" spans="2:17">
      <c r="B54">
        <f t="shared" si="29"/>
        <v>0.89999999999999991</v>
      </c>
      <c r="C54">
        <f t="shared" si="28"/>
        <v>5.9193151050029785E-2</v>
      </c>
      <c r="E54">
        <f t="shared" si="28"/>
        <v>5.9193151050029785E-2</v>
      </c>
      <c r="J54" t="s">
        <v>82</v>
      </c>
      <c r="K54">
        <f>0.5*$H$37*($K$53)^2</f>
        <v>18125.448652151674</v>
      </c>
      <c r="L54" t="s">
        <v>83</v>
      </c>
    </row>
    <row r="55" spans="2:17">
      <c r="B55">
        <f t="shared" si="29"/>
        <v>0.99999999999999989</v>
      </c>
      <c r="C55">
        <f t="shared" si="28"/>
        <v>6.8855742037073814E-2</v>
      </c>
      <c r="E55">
        <f t="shared" si="28"/>
        <v>6.8855742037073814E-2</v>
      </c>
      <c r="J55" t="s">
        <v>84</v>
      </c>
      <c r="K55">
        <f>(D33*9.81)/(K54*A33)</f>
        <v>0.36081865478257474</v>
      </c>
    </row>
    <row r="56" spans="2:17">
      <c r="B56">
        <f t="shared" si="29"/>
        <v>1.0999999999999999</v>
      </c>
      <c r="C56">
        <f t="shared" si="28"/>
        <v>7.9535447864859318E-2</v>
      </c>
      <c r="E56">
        <f t="shared" si="28"/>
        <v>7.9535447864859318E-2</v>
      </c>
      <c r="J56" t="s">
        <v>85</v>
      </c>
      <c r="K56">
        <f>J33+J35*(K55)^2</f>
        <v>2.4620914224738839E-2</v>
      </c>
    </row>
    <row r="57" spans="2:17">
      <c r="B57">
        <f t="shared" si="29"/>
        <v>1.2</v>
      </c>
      <c r="C57">
        <f t="shared" si="28"/>
        <v>9.1232268533386313E-2</v>
      </c>
      <c r="E57">
        <f t="shared" si="28"/>
        <v>9.1232268533386313E-2</v>
      </c>
      <c r="J57" t="s">
        <v>86</v>
      </c>
      <c r="K57">
        <f>K54*A33*K56</f>
        <v>240983.16293674867</v>
      </c>
      <c r="L57" t="s">
        <v>87</v>
      </c>
      <c r="O57" t="s">
        <v>86</v>
      </c>
      <c r="P57">
        <f>K57/9.81</f>
        <v>24565.052287130344</v>
      </c>
      <c r="Q57" t="s">
        <v>88</v>
      </c>
    </row>
    <row r="58" spans="2:17">
      <c r="B58">
        <f t="shared" si="29"/>
        <v>1.3</v>
      </c>
      <c r="C58">
        <f t="shared" si="28"/>
        <v>0.10394620404265477</v>
      </c>
      <c r="E58">
        <f t="shared" si="28"/>
        <v>0.10394620404265477</v>
      </c>
    </row>
    <row r="59" spans="2:17">
      <c r="B59">
        <f>B58+$A$45</f>
        <v>1.4000000000000001</v>
      </c>
      <c r="C59">
        <f t="shared" si="28"/>
        <v>0.11767725439266472</v>
      </c>
      <c r="E59">
        <f t="shared" si="28"/>
        <v>0.11767725439266472</v>
      </c>
      <c r="J59" t="s">
        <v>89</v>
      </c>
      <c r="K59">
        <f>($R$35-$P$57)/(14*$P$57)</f>
        <v>0.17049467275563135</v>
      </c>
    </row>
    <row r="60" spans="2:17">
      <c r="B60">
        <f t="shared" si="29"/>
        <v>1.5000000000000002</v>
      </c>
      <c r="C60">
        <f t="shared" si="28"/>
        <v>0.13242541958341614</v>
      </c>
      <c r="E60">
        <f t="shared" si="28"/>
        <v>0.13242541958341614</v>
      </c>
      <c r="J60" t="s">
        <v>90</v>
      </c>
      <c r="K60">
        <f>M33+K59</f>
        <v>1.0004946727556314</v>
      </c>
    </row>
    <row r="61" spans="2:17">
      <c r="B61">
        <f t="shared" si="29"/>
        <v>1.6000000000000003</v>
      </c>
      <c r="C61">
        <f t="shared" si="28"/>
        <v>0.14819069961490902</v>
      </c>
      <c r="E61">
        <f t="shared" si="28"/>
        <v>0.14819069961490902</v>
      </c>
    </row>
    <row r="62" spans="2:17">
      <c r="B62">
        <f t="shared" si="29"/>
        <v>1.7000000000000004</v>
      </c>
      <c r="C62">
        <f t="shared" si="28"/>
        <v>0.16497309448714342</v>
      </c>
      <c r="E62">
        <f t="shared" si="28"/>
        <v>0.16497309448714342</v>
      </c>
    </row>
    <row r="63" spans="2:17">
      <c r="B63">
        <f t="shared" si="29"/>
        <v>1.8000000000000005</v>
      </c>
      <c r="C63">
        <f t="shared" si="28"/>
        <v>0.18277260420011926</v>
      </c>
      <c r="E63">
        <f t="shared" si="28"/>
        <v>0.18277260420011926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H63"/>
  <sheetViews>
    <sheetView zoomScale="75" workbookViewId="0">
      <selection activeCell="T34" sqref="T34:T35"/>
    </sheetView>
  </sheetViews>
  <sheetFormatPr defaultRowHeight="12.75"/>
  <cols>
    <col min="1" max="1" width="6.7109375" customWidth="1"/>
    <col min="2" max="2" width="7.5703125" customWidth="1"/>
    <col min="3" max="3" width="8.7109375" customWidth="1"/>
    <col min="4" max="4" width="9.85546875" customWidth="1"/>
    <col min="6" max="6" width="7.5703125" customWidth="1"/>
    <col min="7" max="7" width="7.85546875" customWidth="1"/>
    <col min="8" max="8" width="6.28515625" customWidth="1"/>
    <col min="9" max="9" width="8.85546875" customWidth="1"/>
    <col min="10" max="10" width="7.42578125" customWidth="1"/>
    <col min="11" max="11" width="7.5703125" customWidth="1"/>
    <col min="12" max="12" width="6.28515625" customWidth="1"/>
    <col min="13" max="14" width="6.85546875" customWidth="1"/>
    <col min="15" max="15" width="7.5703125" customWidth="1"/>
    <col min="16" max="16" width="9.42578125" customWidth="1"/>
    <col min="17" max="17" width="7" customWidth="1"/>
    <col min="18" max="18" width="7.5703125" customWidth="1"/>
  </cols>
  <sheetData>
    <row r="1" spans="1:34" s="2" customFormat="1" ht="25.5" customHeight="1">
      <c r="A1" s="2" t="s">
        <v>2</v>
      </c>
      <c r="B1" s="2" t="s">
        <v>0</v>
      </c>
      <c r="C1" s="2" t="s">
        <v>1</v>
      </c>
      <c r="D1" s="2" t="s">
        <v>48</v>
      </c>
      <c r="E1" s="2" t="s">
        <v>49</v>
      </c>
      <c r="F1" s="2" t="s">
        <v>50</v>
      </c>
      <c r="G1" s="2" t="s">
        <v>51</v>
      </c>
      <c r="H1" s="2" t="s">
        <v>52</v>
      </c>
      <c r="I1" s="2" t="s">
        <v>53</v>
      </c>
      <c r="J1" s="2" t="s">
        <v>55</v>
      </c>
      <c r="K1" s="2" t="s">
        <v>56</v>
      </c>
      <c r="L1" s="2" t="s">
        <v>64</v>
      </c>
      <c r="M1" s="2" t="s">
        <v>65</v>
      </c>
      <c r="N1" s="2" t="s">
        <v>98</v>
      </c>
      <c r="O1" s="2" t="s">
        <v>66</v>
      </c>
      <c r="P1" s="2" t="s">
        <v>67</v>
      </c>
      <c r="Q1" s="2" t="s">
        <v>68</v>
      </c>
      <c r="R1" s="2" t="s">
        <v>69</v>
      </c>
      <c r="S1" s="2" t="s">
        <v>57</v>
      </c>
      <c r="T1" s="12" t="s">
        <v>85</v>
      </c>
      <c r="U1" s="12" t="s">
        <v>91</v>
      </c>
      <c r="V1" s="12" t="s">
        <v>93</v>
      </c>
      <c r="W1" s="12" t="s">
        <v>56</v>
      </c>
      <c r="X1" s="12" t="s">
        <v>67</v>
      </c>
      <c r="Y1" s="12" t="s">
        <v>68</v>
      </c>
      <c r="Z1" s="12" t="s">
        <v>69</v>
      </c>
      <c r="AA1" s="12" t="s">
        <v>57</v>
      </c>
      <c r="AC1" s="2" t="s">
        <v>95</v>
      </c>
      <c r="AD1" s="2" t="s">
        <v>97</v>
      </c>
      <c r="AF1" s="2" t="s">
        <v>99</v>
      </c>
      <c r="AG1" s="2" t="s">
        <v>95</v>
      </c>
      <c r="AH1" s="2" t="s">
        <v>97</v>
      </c>
    </row>
    <row r="2" spans="1:34" ht="12" customHeight="1">
      <c r="A2">
        <f>SL!A2</f>
        <v>6</v>
      </c>
      <c r="B2" s="8">
        <f>$F$39/3.6</f>
        <v>137.97765334844669</v>
      </c>
      <c r="C2">
        <f>$B2*3.6</f>
        <v>496.7195520544081</v>
      </c>
      <c r="D2">
        <f>0.5*$H$37*($B2)^2</f>
        <v>4359.9999999999991</v>
      </c>
      <c r="E2">
        <f>(2/$H$37)*($E$35)*(1/$B2)^2</f>
        <v>1.5000000000000002</v>
      </c>
      <c r="F2">
        <f>$J$33+$J$35*($E2)^2</f>
        <v>0.13242541958341614</v>
      </c>
      <c r="G2" s="7">
        <f>($F2*$D2*$A$33)/9.81</f>
        <v>31782.100700019862</v>
      </c>
      <c r="H2" s="8">
        <f>$E2/$F2</f>
        <v>11.327130430990515</v>
      </c>
      <c r="I2" s="7">
        <f>$D$33/$H2</f>
        <v>31782.10070001987</v>
      </c>
      <c r="J2" s="7">
        <f>$G2*9.81*$B2/1000</f>
        <v>43019.004992843831</v>
      </c>
      <c r="K2" s="7">
        <f>$J2/0.746</f>
        <v>57666.226531962238</v>
      </c>
      <c r="L2" s="10">
        <f>$B2/$J$37</f>
        <v>0.45508287394947511</v>
      </c>
      <c r="M2">
        <f>$R$35*$G$37</f>
        <v>31109.011658767777</v>
      </c>
      <c r="N2">
        <f>M2/$O$35</f>
        <v>0.29912511210353632</v>
      </c>
      <c r="O2">
        <f>$M2*9.81*$B2/746</f>
        <v>56444.957192487775</v>
      </c>
      <c r="P2" s="7">
        <f>$M2-$G2</f>
        <v>-673.08904125208574</v>
      </c>
      <c r="Q2" s="8">
        <f>57.3*ASIN($P2/$D$33)</f>
        <v>-0.10713340148456965</v>
      </c>
      <c r="R2" s="7">
        <f>$O2-$K2</f>
        <v>-1221.2693394744638</v>
      </c>
      <c r="S2">
        <f>$R2*746/($D$33*9.81)</f>
        <v>-0.25797568446255237</v>
      </c>
      <c r="T2" s="13">
        <f>U2*9.81/(D2*$A$33)</f>
        <v>0.13242541958341614</v>
      </c>
      <c r="U2" s="13">
        <f>IF(L2&lt;$M$33,I2,$M$37+$M$37*14*(L2-$M$33))</f>
        <v>31782.10070001987</v>
      </c>
      <c r="V2" s="14">
        <f>$U2*9.81*$B2/1000</f>
        <v>43019.004992843838</v>
      </c>
      <c r="W2" s="14">
        <f>$V2/0.746</f>
        <v>57666.226531962253</v>
      </c>
      <c r="X2" s="14">
        <f>$M2-$U2</f>
        <v>-673.08904125209301</v>
      </c>
      <c r="Y2" s="15">
        <f>57.3*ASIN($X2/$D$33)</f>
        <v>-0.1071334014845708</v>
      </c>
      <c r="Z2" s="14">
        <f>$O2-$W2</f>
        <v>-1221.2693394744783</v>
      </c>
      <c r="AA2" s="13">
        <f>$Z2*746/($D$33*9.81)</f>
        <v>-0.25797568446255542</v>
      </c>
      <c r="AC2">
        <f>11.27*(2/$S$33)*SQRT(2/($H$37*$A$33))*(SQRT(E2))*(1/T2)*(SQRT($D$33)-SQRT($D$33-$E$33))</f>
        <v>2511.4195476595828</v>
      </c>
      <c r="AD2">
        <f>(1/$S$33)*(E2/T2)*LN($D$33/($D$33-$E$33))</f>
        <v>5.431020595531642</v>
      </c>
      <c r="AF2">
        <f>0.56+(L2-0.5)*0.4</f>
        <v>0.5420331495797901</v>
      </c>
      <c r="AG2">
        <f>11.27*(2/AF2)*SQRT(2/($H$37*$A$33))*(SQRT(E2))*(1/T2)*(SQRT($D$33)-SQRT($D$33-$E$33))</f>
        <v>2779.9992117897823</v>
      </c>
      <c r="AH2">
        <f>(1/AF2)*(E2/T2)*LN($D$33/($D$33-$E$33))</f>
        <v>6.0118322280569298</v>
      </c>
    </row>
    <row r="3" spans="1:34" ht="12" customHeight="1">
      <c r="B3" s="8">
        <f>B2+$A$2</f>
        <v>143.97765334844669</v>
      </c>
      <c r="C3">
        <f t="shared" ref="C3:C30" si="0">$B3*3.6</f>
        <v>518.31955205440806</v>
      </c>
      <c r="D3">
        <f t="shared" ref="D3:D30" si="1">0.5*$H$37*($B3)^2</f>
        <v>4747.4364740753927</v>
      </c>
      <c r="E3">
        <f t="shared" ref="E3:E30" si="2">(2/$H$37)*($E$35)*(1/$B3)^2</f>
        <v>1.3775855739646783</v>
      </c>
      <c r="F3">
        <f t="shared" ref="F3:F30" si="3">$J$33+$J$35*($E3)^2</f>
        <v>0.11451107829633447</v>
      </c>
      <c r="G3" s="7">
        <f t="shared" ref="G3:G30" si="4">($F3*$D3*$A$33)/9.81</f>
        <v>29924.811181085577</v>
      </c>
      <c r="H3" s="8">
        <f t="shared" ref="H3:H30" si="5">$E3/$F3</f>
        <v>12.03015109507335</v>
      </c>
      <c r="I3" s="7">
        <f t="shared" ref="I3:I30" si="6">$D$33/$H3</f>
        <v>29924.811181085588</v>
      </c>
      <c r="J3" s="7">
        <f t="shared" ref="J3:J30" si="7">$G3*9.81*$B3/1000</f>
        <v>42266.42513023848</v>
      </c>
      <c r="K3" s="7">
        <f t="shared" ref="K3:K30" si="8">$J3/0.746</f>
        <v>56657.406340802256</v>
      </c>
      <c r="L3" s="10">
        <f t="shared" ref="L3:L30" si="9">$B3/$J$37</f>
        <v>0.47487229040520579</v>
      </c>
      <c r="M3">
        <f t="shared" ref="M3:M30" si="10">$R$35*$G$37</f>
        <v>31109.011658767777</v>
      </c>
      <c r="N3">
        <f t="shared" ref="N3:N30" si="11">M3/$O$35</f>
        <v>0.29912511210353632</v>
      </c>
      <c r="O3">
        <f t="shared" ref="O3:O30" si="12">$M3*9.81*$B3/746</f>
        <v>58899.483233017359</v>
      </c>
      <c r="P3" s="7">
        <f t="shared" ref="P3:P30" si="13">$M3-$G3</f>
        <v>1184.2004776821996</v>
      </c>
      <c r="Q3" s="8">
        <f t="shared" ref="Q3:Q30" si="14">57.3*ASIN($P3/$D$33)</f>
        <v>0.18848558261537202</v>
      </c>
      <c r="R3" s="7">
        <f t="shared" ref="R3:R29" si="15">$O3-$K3</f>
        <v>2242.0768922151037</v>
      </c>
      <c r="S3">
        <f t="shared" ref="S3:S30" si="16">$R3*746/($D$33*9.81)</f>
        <v>0.4736066829744216</v>
      </c>
      <c r="T3" s="13">
        <f t="shared" ref="T3:T30" si="17">U3*9.81/(D3*$A$33)</f>
        <v>0.11451107829633451</v>
      </c>
      <c r="U3" s="13">
        <f t="shared" ref="U3:U30" si="18">IF(L3&lt;$M$33,I3,$M$37+$M$37*14*(L3-$M$33))</f>
        <v>29924.811181085588</v>
      </c>
      <c r="V3" s="14">
        <f t="shared" ref="V3:V30" si="19">$U3*9.81*$B3/1000</f>
        <v>42266.425130238495</v>
      </c>
      <c r="W3" s="14">
        <f t="shared" ref="W3:W30" si="20">$V3/0.746</f>
        <v>56657.40634080227</v>
      </c>
      <c r="X3" s="14">
        <f t="shared" ref="X3:X30" si="21">$M3-$U3</f>
        <v>1184.2004776821886</v>
      </c>
      <c r="Y3" s="15">
        <f t="shared" ref="Y3:Y30" si="22">57.3*ASIN($X3/$D$33)</f>
        <v>0.18848558261537027</v>
      </c>
      <c r="Z3" s="14">
        <f t="shared" ref="Z3:Z30" si="23">$O3-$W3</f>
        <v>2242.0768922150892</v>
      </c>
      <c r="AA3" s="13">
        <f t="shared" ref="AA3:AA30" si="24">$Z3*746/($D$33*9.81)</f>
        <v>0.47360668297441855</v>
      </c>
      <c r="AC3">
        <f t="shared" ref="AC3:AC30" si="25">11.27*(2/$S$33)*SQRT(2/($H$37*$A$33))*(SQRT(E3))*(1/T3)*(SQRT($D$33)-SQRT($D$33-$E$33))</f>
        <v>2783.2792847115174</v>
      </c>
      <c r="AD3">
        <f t="shared" ref="AD3:AD30" si="26">(1/$S$33)*(E3/T3)*LN($D$33/($D$33-$E$33))</f>
        <v>5.7680979982312683</v>
      </c>
      <c r="AF3">
        <f t="shared" ref="AF3:AF30" si="27">0.56+(L3-0.5)*0.4</f>
        <v>0.54994891616208241</v>
      </c>
      <c r="AG3">
        <f t="shared" ref="AG3:AG30" si="28">11.27*(2/AF3)*SQRT(2/($H$37*$A$33))*(SQRT(E3))*(1/T3)*(SQRT($D$33)-SQRT($D$33-$E$33))</f>
        <v>3036.586711509643</v>
      </c>
      <c r="AH3">
        <f t="shared" ref="AH3:AH30" si="29">(1/AF3)*(E3/T3)*LN($D$33/($D$33-$E$33))</f>
        <v>6.2930550406226597</v>
      </c>
    </row>
    <row r="4" spans="1:34" ht="12" customHeight="1">
      <c r="B4" s="8">
        <f t="shared" ref="B4:B30" si="30">B3+$A$2</f>
        <v>149.97765334844669</v>
      </c>
      <c r="C4">
        <f t="shared" si="0"/>
        <v>539.91955205440809</v>
      </c>
      <c r="D4">
        <f t="shared" si="1"/>
        <v>5151.3622199554939</v>
      </c>
      <c r="E4">
        <f t="shared" si="2"/>
        <v>1.2695671010408007</v>
      </c>
      <c r="F4">
        <f t="shared" si="3"/>
        <v>9.9969316751634396E-2</v>
      </c>
      <c r="G4" s="7">
        <f t="shared" si="4"/>
        <v>28347.421732245868</v>
      </c>
      <c r="H4" s="8">
        <f t="shared" si="5"/>
        <v>12.699567650291504</v>
      </c>
      <c r="I4" s="7">
        <f t="shared" si="6"/>
        <v>28347.421732245868</v>
      </c>
      <c r="J4" s="7">
        <f t="shared" si="7"/>
        <v>41707.016738732564</v>
      </c>
      <c r="K4" s="7">
        <f t="shared" si="8"/>
        <v>55907.52914039218</v>
      </c>
      <c r="L4" s="10">
        <f t="shared" si="9"/>
        <v>0.49466170686093641</v>
      </c>
      <c r="M4">
        <f t="shared" si="10"/>
        <v>31109.011658767777</v>
      </c>
      <c r="N4">
        <f t="shared" si="11"/>
        <v>0.29912511210353632</v>
      </c>
      <c r="O4">
        <f t="shared" si="12"/>
        <v>61354.009273546952</v>
      </c>
      <c r="P4" s="7">
        <f t="shared" si="13"/>
        <v>2761.5899265219086</v>
      </c>
      <c r="Q4" s="8">
        <f t="shared" si="14"/>
        <v>0.4395573743733947</v>
      </c>
      <c r="R4" s="7">
        <f t="shared" si="15"/>
        <v>5446.4801331547715</v>
      </c>
      <c r="S4">
        <f t="shared" si="16"/>
        <v>1.1504910463624023</v>
      </c>
      <c r="T4" s="13">
        <f t="shared" si="17"/>
        <v>9.9969316751634396E-2</v>
      </c>
      <c r="U4" s="13">
        <f t="shared" si="18"/>
        <v>28347.421732245868</v>
      </c>
      <c r="V4" s="14">
        <f t="shared" si="19"/>
        <v>41707.016738732564</v>
      </c>
      <c r="W4" s="14">
        <f t="shared" si="20"/>
        <v>55907.52914039218</v>
      </c>
      <c r="X4" s="14">
        <f t="shared" si="21"/>
        <v>2761.5899265219086</v>
      </c>
      <c r="Y4" s="15">
        <f t="shared" si="22"/>
        <v>0.4395573743733947</v>
      </c>
      <c r="Z4" s="14">
        <f t="shared" si="23"/>
        <v>5446.4801331547715</v>
      </c>
      <c r="AA4" s="13">
        <f t="shared" si="24"/>
        <v>1.1504910463624023</v>
      </c>
      <c r="AC4">
        <f t="shared" si="25"/>
        <v>3060.5966910927727</v>
      </c>
      <c r="AD4">
        <f t="shared" si="26"/>
        <v>6.0890632347957547</v>
      </c>
      <c r="AF4">
        <f t="shared" si="27"/>
        <v>0.55786468274437462</v>
      </c>
      <c r="AG4">
        <f t="shared" si="28"/>
        <v>3291.7624496711887</v>
      </c>
      <c r="AH4">
        <f t="shared" si="29"/>
        <v>6.5489679735677679</v>
      </c>
    </row>
    <row r="5" spans="1:34" ht="12" customHeight="1">
      <c r="B5" s="8">
        <f t="shared" si="30"/>
        <v>155.97765334844669</v>
      </c>
      <c r="C5">
        <f t="shared" si="0"/>
        <v>561.51955205440811</v>
      </c>
      <c r="D5">
        <f t="shared" si="1"/>
        <v>5571.7772376403027</v>
      </c>
      <c r="E5">
        <f t="shared" si="2"/>
        <v>1.1737726978420528</v>
      </c>
      <c r="F5">
        <f t="shared" si="3"/>
        <v>8.806610935187012E-2</v>
      </c>
      <c r="G5" s="7">
        <f t="shared" si="4"/>
        <v>27010.169366658261</v>
      </c>
      <c r="H5" s="8">
        <f t="shared" si="5"/>
        <v>13.328313314628419</v>
      </c>
      <c r="I5" s="7">
        <f t="shared" si="6"/>
        <v>27010.169366658265</v>
      </c>
      <c r="J5" s="7">
        <f t="shared" si="7"/>
        <v>41329.361605027028</v>
      </c>
      <c r="K5" s="7">
        <f t="shared" si="8"/>
        <v>55401.289014781541</v>
      </c>
      <c r="L5" s="10">
        <f t="shared" si="9"/>
        <v>0.51445112331666709</v>
      </c>
      <c r="M5">
        <f t="shared" si="10"/>
        <v>31109.011658767777</v>
      </c>
      <c r="N5">
        <f t="shared" si="11"/>
        <v>0.29912511210353632</v>
      </c>
      <c r="O5">
        <f t="shared" si="12"/>
        <v>63808.535314076536</v>
      </c>
      <c r="P5" s="7">
        <f t="shared" si="13"/>
        <v>4098.8422921095153</v>
      </c>
      <c r="Q5" s="8">
        <f t="shared" si="14"/>
        <v>0.65241316111760017</v>
      </c>
      <c r="R5" s="7">
        <f t="shared" si="15"/>
        <v>8407.246299294995</v>
      </c>
      <c r="S5">
        <f t="shared" si="16"/>
        <v>1.7759105615794728</v>
      </c>
      <c r="T5" s="13">
        <f t="shared" si="17"/>
        <v>8.8066109351870162E-2</v>
      </c>
      <c r="U5" s="13">
        <f t="shared" si="18"/>
        <v>27010.169366658265</v>
      </c>
      <c r="V5" s="14">
        <f t="shared" si="19"/>
        <v>41329.361605027036</v>
      </c>
      <c r="W5" s="14">
        <f t="shared" si="20"/>
        <v>55401.289014781549</v>
      </c>
      <c r="X5" s="14">
        <f t="shared" si="21"/>
        <v>4098.8422921095116</v>
      </c>
      <c r="Y5" s="15">
        <f t="shared" si="22"/>
        <v>0.6524131611175995</v>
      </c>
      <c r="Z5" s="14">
        <f t="shared" si="23"/>
        <v>8407.2462992949877</v>
      </c>
      <c r="AA5" s="13">
        <f t="shared" si="24"/>
        <v>1.7759105615794712</v>
      </c>
      <c r="AC5">
        <f t="shared" si="25"/>
        <v>3340.6285619818918</v>
      </c>
      <c r="AD5">
        <f t="shared" si="26"/>
        <v>6.3905279943982771</v>
      </c>
      <c r="AF5">
        <f t="shared" si="27"/>
        <v>0.56578044932666693</v>
      </c>
      <c r="AG5">
        <f t="shared" si="28"/>
        <v>3542.6765622151424</v>
      </c>
      <c r="AH5">
        <f t="shared" si="29"/>
        <v>6.7770401066388413</v>
      </c>
    </row>
    <row r="6" spans="1:34" ht="12" customHeight="1">
      <c r="B6" s="8">
        <f t="shared" si="30"/>
        <v>161.97765334844669</v>
      </c>
      <c r="C6">
        <f t="shared" si="0"/>
        <v>583.11955205440813</v>
      </c>
      <c r="D6">
        <f t="shared" si="1"/>
        <v>6008.6815271298183</v>
      </c>
      <c r="E6">
        <f t="shared" si="2"/>
        <v>1.0884251346108502</v>
      </c>
      <c r="F6">
        <f t="shared" si="3"/>
        <v>7.8247234980126659E-2</v>
      </c>
      <c r="G6" s="7">
        <f t="shared" si="4"/>
        <v>25880.516442609533</v>
      </c>
      <c r="H6" s="8">
        <f t="shared" si="5"/>
        <v>13.910077907382798</v>
      </c>
      <c r="I6" s="7">
        <f t="shared" si="6"/>
        <v>25880.516442609525</v>
      </c>
      <c r="J6" s="7">
        <f t="shared" si="7"/>
        <v>41124.160797242061</v>
      </c>
      <c r="K6" s="7">
        <f t="shared" si="8"/>
        <v>55126.220907831179</v>
      </c>
      <c r="L6" s="10">
        <f t="shared" si="9"/>
        <v>0.53424053977239772</v>
      </c>
      <c r="M6">
        <f t="shared" si="10"/>
        <v>31109.011658767777</v>
      </c>
      <c r="N6">
        <f t="shared" si="11"/>
        <v>0.29912511210353632</v>
      </c>
      <c r="O6">
        <f t="shared" si="12"/>
        <v>66263.061354606121</v>
      </c>
      <c r="P6" s="7">
        <f t="shared" si="13"/>
        <v>5228.4952161582441</v>
      </c>
      <c r="Q6" s="8">
        <f t="shared" si="14"/>
        <v>0.83223141476146734</v>
      </c>
      <c r="R6" s="7">
        <f t="shared" si="15"/>
        <v>11136.840446774942</v>
      </c>
      <c r="S6">
        <f t="shared" si="16"/>
        <v>2.3524982934913656</v>
      </c>
      <c r="T6" s="13">
        <f t="shared" si="17"/>
        <v>7.8247234980126631E-2</v>
      </c>
      <c r="U6" s="13">
        <f t="shared" si="18"/>
        <v>25880.516442609525</v>
      </c>
      <c r="V6" s="14">
        <f t="shared" si="19"/>
        <v>41124.160797242046</v>
      </c>
      <c r="W6" s="14">
        <f t="shared" si="20"/>
        <v>55126.220907831164</v>
      </c>
      <c r="X6" s="14">
        <f t="shared" si="21"/>
        <v>5228.4952161582514</v>
      </c>
      <c r="Y6" s="15">
        <f t="shared" si="22"/>
        <v>0.83223141476146856</v>
      </c>
      <c r="Z6" s="14">
        <f t="shared" si="23"/>
        <v>11136.840446774957</v>
      </c>
      <c r="AA6" s="13">
        <f t="shared" si="24"/>
        <v>2.3524982934913687</v>
      </c>
      <c r="AC6">
        <f t="shared" si="25"/>
        <v>3620.5560871830498</v>
      </c>
      <c r="AD6">
        <f t="shared" si="26"/>
        <v>6.6694667339360256</v>
      </c>
      <c r="AF6">
        <f t="shared" si="27"/>
        <v>0.57369621590895914</v>
      </c>
      <c r="AG6">
        <f t="shared" si="28"/>
        <v>3786.5574010593809</v>
      </c>
      <c r="AH6">
        <f t="shared" si="29"/>
        <v>6.9752596049834299</v>
      </c>
    </row>
    <row r="7" spans="1:34" ht="12" customHeight="1">
      <c r="B7" s="8">
        <f t="shared" si="30"/>
        <v>167.97765334844669</v>
      </c>
      <c r="C7">
        <f t="shared" si="0"/>
        <v>604.71955205440815</v>
      </c>
      <c r="D7">
        <f t="shared" si="1"/>
        <v>6462.0750884240415</v>
      </c>
      <c r="E7">
        <f t="shared" si="2"/>
        <v>1.0120588062672855</v>
      </c>
      <c r="F7">
        <f t="shared" si="3"/>
        <v>7.0089656296676184E-2</v>
      </c>
      <c r="G7" s="7">
        <f t="shared" si="4"/>
        <v>24931.630563905746</v>
      </c>
      <c r="H7" s="8">
        <f t="shared" si="5"/>
        <v>14.439488788237641</v>
      </c>
      <c r="I7" s="7">
        <f t="shared" si="6"/>
        <v>24931.63056390575</v>
      </c>
      <c r="J7" s="7">
        <f t="shared" si="7"/>
        <v>41083.856171460684</v>
      </c>
      <c r="K7" s="7">
        <f t="shared" si="8"/>
        <v>55072.193259330677</v>
      </c>
      <c r="L7" s="10">
        <f t="shared" si="9"/>
        <v>0.55402995622812834</v>
      </c>
      <c r="M7">
        <f t="shared" si="10"/>
        <v>31109.011658767777</v>
      </c>
      <c r="N7">
        <f t="shared" si="11"/>
        <v>0.29912511210353632</v>
      </c>
      <c r="O7">
        <f t="shared" si="12"/>
        <v>68717.587395135706</v>
      </c>
      <c r="P7" s="7">
        <f t="shared" si="13"/>
        <v>6177.3810948620303</v>
      </c>
      <c r="Q7" s="8">
        <f t="shared" si="14"/>
        <v>0.98328141529713231</v>
      </c>
      <c r="R7" s="7">
        <f t="shared" si="15"/>
        <v>13645.394135805029</v>
      </c>
      <c r="S7">
        <f t="shared" si="16"/>
        <v>2.8823943893166133</v>
      </c>
      <c r="T7" s="13">
        <f t="shared" si="17"/>
        <v>7.0089656296676198E-2</v>
      </c>
      <c r="U7" s="13">
        <f t="shared" si="18"/>
        <v>24931.63056390575</v>
      </c>
      <c r="V7" s="14">
        <f t="shared" si="19"/>
        <v>41083.856171460684</v>
      </c>
      <c r="W7" s="14">
        <f t="shared" si="20"/>
        <v>55072.193259330677</v>
      </c>
      <c r="X7" s="14">
        <f t="shared" si="21"/>
        <v>6177.3810948620267</v>
      </c>
      <c r="Y7" s="15">
        <f t="shared" si="22"/>
        <v>0.98328141529713176</v>
      </c>
      <c r="Z7" s="14">
        <f t="shared" si="23"/>
        <v>13645.394135805029</v>
      </c>
      <c r="AA7" s="13">
        <f t="shared" si="24"/>
        <v>2.8823943893166133</v>
      </c>
      <c r="AC7">
        <f t="shared" si="25"/>
        <v>3897.5701646211096</v>
      </c>
      <c r="AD7">
        <f t="shared" si="26"/>
        <v>6.9233034329074288</v>
      </c>
      <c r="AF7">
        <f t="shared" si="27"/>
        <v>0.58161198249125134</v>
      </c>
      <c r="AG7">
        <f t="shared" si="28"/>
        <v>4020.7942222164274</v>
      </c>
      <c r="AH7">
        <f t="shared" si="29"/>
        <v>7.142187892951366</v>
      </c>
    </row>
    <row r="8" spans="1:34" ht="12" customHeight="1">
      <c r="B8" s="8">
        <f t="shared" si="30"/>
        <v>173.97765334844669</v>
      </c>
      <c r="C8">
        <f t="shared" si="0"/>
        <v>626.31955205440806</v>
      </c>
      <c r="D8">
        <f t="shared" si="1"/>
        <v>6931.9579215229724</v>
      </c>
      <c r="E8">
        <f t="shared" si="2"/>
        <v>0.94345639053780361</v>
      </c>
      <c r="F8">
        <f t="shared" si="3"/>
        <v>6.3267202553445617E-2</v>
      </c>
      <c r="G8" s="7">
        <f t="shared" si="4"/>
        <v>24141.224912639766</v>
      </c>
      <c r="H8" s="8">
        <f t="shared" si="5"/>
        <v>14.91225077860538</v>
      </c>
      <c r="I8" s="7">
        <f t="shared" si="6"/>
        <v>24141.224912639769</v>
      </c>
      <c r="J8" s="7">
        <f t="shared" si="7"/>
        <v>41202.330197322226</v>
      </c>
      <c r="K8" s="7">
        <f t="shared" si="8"/>
        <v>55231.005626437298</v>
      </c>
      <c r="L8" s="10">
        <f t="shared" si="9"/>
        <v>0.57381937268385907</v>
      </c>
      <c r="M8">
        <f t="shared" si="10"/>
        <v>31109.011658767777</v>
      </c>
      <c r="N8">
        <f t="shared" si="11"/>
        <v>0.29912511210353632</v>
      </c>
      <c r="O8">
        <f t="shared" si="12"/>
        <v>71172.113435665306</v>
      </c>
      <c r="P8" s="7">
        <f t="shared" si="13"/>
        <v>6967.7867461280111</v>
      </c>
      <c r="Q8" s="8">
        <f t="shared" si="14"/>
        <v>1.1091086458254238</v>
      </c>
      <c r="R8" s="7">
        <f t="shared" si="15"/>
        <v>15941.107809228008</v>
      </c>
      <c r="S8">
        <f t="shared" si="16"/>
        <v>3.3673310753437802</v>
      </c>
      <c r="T8" s="13">
        <f t="shared" si="17"/>
        <v>6.3267202553445631E-2</v>
      </c>
      <c r="U8" s="13">
        <f t="shared" si="18"/>
        <v>24141.224912639769</v>
      </c>
      <c r="V8" s="14">
        <f t="shared" si="19"/>
        <v>41202.330197322226</v>
      </c>
      <c r="W8" s="14">
        <f t="shared" si="20"/>
        <v>55231.005626437298</v>
      </c>
      <c r="X8" s="14">
        <f t="shared" si="21"/>
        <v>6967.7867461280075</v>
      </c>
      <c r="Y8" s="15">
        <f t="shared" si="22"/>
        <v>1.1091086458254231</v>
      </c>
      <c r="Z8" s="14">
        <f t="shared" si="23"/>
        <v>15941.107809228008</v>
      </c>
      <c r="AA8" s="13">
        <f t="shared" si="24"/>
        <v>3.3673310753437802</v>
      </c>
      <c r="AC8">
        <f t="shared" si="25"/>
        <v>4168.95571376099</v>
      </c>
      <c r="AD8">
        <f t="shared" si="26"/>
        <v>7.1499786815164628</v>
      </c>
      <c r="AF8">
        <f t="shared" si="27"/>
        <v>0.58952774907354366</v>
      </c>
      <c r="AG8">
        <f t="shared" si="28"/>
        <v>4243.0121944006187</v>
      </c>
      <c r="AH8">
        <f t="shared" si="29"/>
        <v>7.27698944731896</v>
      </c>
    </row>
    <row r="9" spans="1:34" ht="12" customHeight="1">
      <c r="B9" s="8">
        <f t="shared" si="30"/>
        <v>179.97765334844669</v>
      </c>
      <c r="C9">
        <f t="shared" si="0"/>
        <v>647.91955205440809</v>
      </c>
      <c r="D9">
        <f t="shared" si="1"/>
        <v>7418.3300264266109</v>
      </c>
      <c r="E9">
        <f t="shared" si="2"/>
        <v>0.88160003352537553</v>
      </c>
      <c r="F9">
        <f t="shared" si="3"/>
        <v>5.7526029599967721E-2</v>
      </c>
      <c r="G9" s="7">
        <f t="shared" si="4"/>
        <v>23490.664551332837</v>
      </c>
      <c r="H9" s="8">
        <f t="shared" si="5"/>
        <v>15.325236934583614</v>
      </c>
      <c r="I9" s="7">
        <f t="shared" si="6"/>
        <v>23490.664551332837</v>
      </c>
      <c r="J9" s="7">
        <f t="shared" si="7"/>
        <v>41474.665825950826</v>
      </c>
      <c r="K9" s="7">
        <f t="shared" si="8"/>
        <v>55596.066790818804</v>
      </c>
      <c r="L9" s="10">
        <f t="shared" si="9"/>
        <v>0.5936087891395897</v>
      </c>
      <c r="M9">
        <f t="shared" si="10"/>
        <v>31109.011658767777</v>
      </c>
      <c r="N9">
        <f t="shared" si="11"/>
        <v>0.29912511210353632</v>
      </c>
      <c r="O9">
        <f t="shared" si="12"/>
        <v>73626.63947619489</v>
      </c>
      <c r="P9" s="7">
        <f t="shared" si="13"/>
        <v>7618.34710743494</v>
      </c>
      <c r="Q9" s="8">
        <f t="shared" si="14"/>
        <v>1.212677439003895</v>
      </c>
      <c r="R9" s="7">
        <f t="shared" si="15"/>
        <v>18030.572685376086</v>
      </c>
      <c r="S9">
        <f t="shared" si="16"/>
        <v>3.8087006521946316</v>
      </c>
      <c r="T9" s="13">
        <f t="shared" si="17"/>
        <v>5.7526029599967721E-2</v>
      </c>
      <c r="U9" s="13">
        <f t="shared" si="18"/>
        <v>23490.664551332837</v>
      </c>
      <c r="V9" s="14">
        <f t="shared" si="19"/>
        <v>41474.665825950826</v>
      </c>
      <c r="W9" s="14">
        <f t="shared" si="20"/>
        <v>55596.066790818804</v>
      </c>
      <c r="X9" s="14">
        <f t="shared" si="21"/>
        <v>7618.34710743494</v>
      </c>
      <c r="Y9" s="15">
        <f t="shared" si="22"/>
        <v>1.212677439003895</v>
      </c>
      <c r="Z9" s="14">
        <f t="shared" si="23"/>
        <v>18030.572685376086</v>
      </c>
      <c r="AA9" s="13">
        <f t="shared" si="24"/>
        <v>3.8087006521946316</v>
      </c>
      <c r="AC9">
        <f t="shared" si="25"/>
        <v>4432.1698692145064</v>
      </c>
      <c r="AD9">
        <f t="shared" si="26"/>
        <v>7.3479932035926518</v>
      </c>
      <c r="AF9">
        <f t="shared" si="27"/>
        <v>0.59744351565583598</v>
      </c>
      <c r="AG9">
        <f t="shared" si="28"/>
        <v>4451.1352987227401</v>
      </c>
      <c r="AH9">
        <f t="shared" si="29"/>
        <v>7.3794355560389535</v>
      </c>
    </row>
    <row r="10" spans="1:34" ht="12" customHeight="1">
      <c r="B10" s="8">
        <f t="shared" si="30"/>
        <v>185.97765334844669</v>
      </c>
      <c r="C10">
        <f t="shared" si="0"/>
        <v>669.51955205440811</v>
      </c>
      <c r="D10">
        <f t="shared" si="1"/>
        <v>7921.191403134957</v>
      </c>
      <c r="E10">
        <f t="shared" si="2"/>
        <v>0.82563337598579856</v>
      </c>
      <c r="F10">
        <f t="shared" si="3"/>
        <v>5.2666857655015525E-2</v>
      </c>
      <c r="G10" s="7">
        <f t="shared" si="4"/>
        <v>22964.271197451821</v>
      </c>
      <c r="H10" s="8">
        <f t="shared" si="5"/>
        <v>15.676526239593725</v>
      </c>
      <c r="I10" s="7">
        <f t="shared" si="6"/>
        <v>22964.271197451828</v>
      </c>
      <c r="J10" s="7">
        <f t="shared" si="7"/>
        <v>41896.952840643855</v>
      </c>
      <c r="K10" s="7">
        <f t="shared" si="8"/>
        <v>56162.135175125812</v>
      </c>
      <c r="L10" s="10">
        <f t="shared" si="9"/>
        <v>0.61339820559532032</v>
      </c>
      <c r="M10">
        <f t="shared" si="10"/>
        <v>31109.011658767777</v>
      </c>
      <c r="N10">
        <f t="shared" si="11"/>
        <v>0.29912511210353632</v>
      </c>
      <c r="O10">
        <f t="shared" si="12"/>
        <v>76081.165516724461</v>
      </c>
      <c r="P10" s="7">
        <f t="shared" si="13"/>
        <v>8144.7404613159561</v>
      </c>
      <c r="Q10" s="8">
        <f t="shared" si="14"/>
        <v>1.296481808568853</v>
      </c>
      <c r="R10" s="7">
        <f t="shared" si="15"/>
        <v>19919.030341598649</v>
      </c>
      <c r="S10">
        <f t="shared" si="16"/>
        <v>4.2076103281324588</v>
      </c>
      <c r="T10" s="13">
        <f t="shared" si="17"/>
        <v>5.2666857655015532E-2</v>
      </c>
      <c r="U10" s="13">
        <f t="shared" si="18"/>
        <v>22964.271197451828</v>
      </c>
      <c r="V10" s="14">
        <f t="shared" si="19"/>
        <v>41896.952840643862</v>
      </c>
      <c r="W10" s="14">
        <f t="shared" si="20"/>
        <v>56162.135175125819</v>
      </c>
      <c r="X10" s="14">
        <f t="shared" si="21"/>
        <v>8144.7404613159488</v>
      </c>
      <c r="Y10" s="15">
        <f t="shared" si="22"/>
        <v>1.2964818085688519</v>
      </c>
      <c r="Z10" s="14">
        <f t="shared" si="23"/>
        <v>19919.030341598642</v>
      </c>
      <c r="AA10" s="13">
        <f t="shared" si="24"/>
        <v>4.2076103281324579</v>
      </c>
      <c r="AC10">
        <f t="shared" si="25"/>
        <v>4684.9095624547654</v>
      </c>
      <c r="AD10">
        <f t="shared" si="26"/>
        <v>7.5164259290850755</v>
      </c>
      <c r="AF10">
        <f t="shared" si="27"/>
        <v>0.60535928223812818</v>
      </c>
      <c r="AG10">
        <f t="shared" si="28"/>
        <v>4643.4337755262613</v>
      </c>
      <c r="AH10">
        <f t="shared" si="29"/>
        <v>7.449882556978813</v>
      </c>
    </row>
    <row r="11" spans="1:34" ht="12" customHeight="1">
      <c r="B11" s="8">
        <f t="shared" si="30"/>
        <v>191.97765334844669</v>
      </c>
      <c r="C11">
        <f t="shared" si="0"/>
        <v>691.11955205440813</v>
      </c>
      <c r="D11">
        <f t="shared" si="1"/>
        <v>8440.5420516480081</v>
      </c>
      <c r="E11">
        <f t="shared" si="2"/>
        <v>0.7748317536932442</v>
      </c>
      <c r="F11">
        <f t="shared" si="3"/>
        <v>4.8531969249880437E-2</v>
      </c>
      <c r="G11" s="7">
        <f t="shared" si="4"/>
        <v>22548.777649701125</v>
      </c>
      <c r="H11" s="8">
        <f t="shared" si="5"/>
        <v>15.965388704995791</v>
      </c>
      <c r="I11" s="7">
        <f t="shared" si="6"/>
        <v>22548.777649701133</v>
      </c>
      <c r="J11" s="7">
        <f t="shared" si="7"/>
        <v>42466.130521032814</v>
      </c>
      <c r="K11" s="7">
        <f t="shared" si="8"/>
        <v>56925.107937041306</v>
      </c>
      <c r="L11" s="10">
        <f t="shared" si="9"/>
        <v>0.63318762205105095</v>
      </c>
      <c r="M11">
        <f t="shared" si="10"/>
        <v>31109.011658767777</v>
      </c>
      <c r="N11">
        <f t="shared" si="11"/>
        <v>0.29912511210353632</v>
      </c>
      <c r="O11">
        <f t="shared" si="12"/>
        <v>78535.69155725406</v>
      </c>
      <c r="P11" s="7">
        <f t="shared" si="13"/>
        <v>8560.2340090666512</v>
      </c>
      <c r="Q11" s="8">
        <f t="shared" si="14"/>
        <v>1.3626323421697428</v>
      </c>
      <c r="R11" s="7">
        <f t="shared" si="15"/>
        <v>21610.583620212754</v>
      </c>
      <c r="S11">
        <f t="shared" si="16"/>
        <v>4.5649267699282801</v>
      </c>
      <c r="T11" s="13">
        <f t="shared" si="17"/>
        <v>4.8531969249880437E-2</v>
      </c>
      <c r="U11" s="13">
        <f t="shared" si="18"/>
        <v>22548.777649701133</v>
      </c>
      <c r="V11" s="14">
        <f t="shared" si="19"/>
        <v>42466.130521032821</v>
      </c>
      <c r="W11" s="14">
        <f t="shared" si="20"/>
        <v>56925.107937041314</v>
      </c>
      <c r="X11" s="14">
        <f t="shared" si="21"/>
        <v>8560.2340090666439</v>
      </c>
      <c r="Y11" s="15">
        <f t="shared" si="22"/>
        <v>1.3626323421697417</v>
      </c>
      <c r="Z11" s="14">
        <f t="shared" si="23"/>
        <v>21610.583620212747</v>
      </c>
      <c r="AA11" s="13">
        <f t="shared" si="24"/>
        <v>4.5649267699282792</v>
      </c>
      <c r="AC11">
        <f t="shared" si="25"/>
        <v>4925.165059877314</v>
      </c>
      <c r="AD11">
        <f t="shared" si="26"/>
        <v>7.6549268502524042</v>
      </c>
      <c r="AF11">
        <f t="shared" si="27"/>
        <v>0.61327504882042039</v>
      </c>
      <c r="AG11">
        <f t="shared" si="28"/>
        <v>4818.5541570788773</v>
      </c>
      <c r="AH11">
        <f t="shared" si="29"/>
        <v>7.4892270914748327</v>
      </c>
    </row>
    <row r="12" spans="1:34" ht="12" customHeight="1">
      <c r="B12" s="8">
        <f t="shared" si="30"/>
        <v>197.97765334844669</v>
      </c>
      <c r="C12">
        <f t="shared" si="0"/>
        <v>712.71955205440815</v>
      </c>
      <c r="D12">
        <f t="shared" si="1"/>
        <v>8976.3819719657695</v>
      </c>
      <c r="E12">
        <f t="shared" si="2"/>
        <v>0.72857862114436989</v>
      </c>
      <c r="F12">
        <f t="shared" si="3"/>
        <v>4.4995591172748553E-2</v>
      </c>
      <c r="G12" s="7">
        <f t="shared" si="4"/>
        <v>22232.896151614801</v>
      </c>
      <c r="H12" s="8">
        <f t="shared" si="5"/>
        <v>16.192222441242897</v>
      </c>
      <c r="I12" s="7">
        <f t="shared" si="6"/>
        <v>22232.896151614797</v>
      </c>
      <c r="J12" s="7">
        <f t="shared" si="7"/>
        <v>43179.858916989186</v>
      </c>
      <c r="K12" s="7">
        <f t="shared" si="8"/>
        <v>57881.848414194617</v>
      </c>
      <c r="L12" s="10">
        <f t="shared" si="9"/>
        <v>0.65297703850678168</v>
      </c>
      <c r="M12">
        <f t="shared" si="10"/>
        <v>31109.011658767777</v>
      </c>
      <c r="N12">
        <f t="shared" si="11"/>
        <v>0.29912511210353632</v>
      </c>
      <c r="O12">
        <f t="shared" si="12"/>
        <v>80990.217597783645</v>
      </c>
      <c r="P12" s="7">
        <f t="shared" si="13"/>
        <v>8876.1155071529756</v>
      </c>
      <c r="Q12" s="8">
        <f t="shared" si="14"/>
        <v>1.41292489861065</v>
      </c>
      <c r="R12" s="7">
        <f t="shared" si="15"/>
        <v>23108.369183589028</v>
      </c>
      <c r="S12">
        <f t="shared" si="16"/>
        <v>4.8813125526552881</v>
      </c>
      <c r="T12" s="13">
        <f t="shared" si="17"/>
        <v>4.4995591172748546E-2</v>
      </c>
      <c r="U12" s="13">
        <f t="shared" si="18"/>
        <v>22232.896151614797</v>
      </c>
      <c r="V12" s="14">
        <f t="shared" si="19"/>
        <v>43179.858916989178</v>
      </c>
      <c r="W12" s="14">
        <f t="shared" si="20"/>
        <v>57881.84841419461</v>
      </c>
      <c r="X12" s="14">
        <f t="shared" si="21"/>
        <v>8876.1155071529793</v>
      </c>
      <c r="Y12" s="15">
        <f t="shared" si="22"/>
        <v>1.4129248986106506</v>
      </c>
      <c r="Z12" s="14">
        <f t="shared" si="23"/>
        <v>23108.369183589035</v>
      </c>
      <c r="AA12" s="13">
        <f t="shared" si="24"/>
        <v>4.881312552655289</v>
      </c>
      <c r="AC12">
        <f t="shared" si="25"/>
        <v>5151.257359263841</v>
      </c>
      <c r="AD12">
        <f t="shared" si="26"/>
        <v>7.763686849161652</v>
      </c>
      <c r="AF12">
        <f t="shared" si="27"/>
        <v>0.6211908154027127</v>
      </c>
      <c r="AG12">
        <f t="shared" si="28"/>
        <v>4975.5314130885763</v>
      </c>
      <c r="AH12">
        <f t="shared" si="29"/>
        <v>7.4988425359719972</v>
      </c>
    </row>
    <row r="13" spans="1:34" ht="12" customHeight="1">
      <c r="B13" s="8">
        <f t="shared" si="30"/>
        <v>203.97765334844669</v>
      </c>
      <c r="C13">
        <f t="shared" si="0"/>
        <v>734.31955205440806</v>
      </c>
      <c r="D13">
        <f t="shared" si="1"/>
        <v>9528.7111640882376</v>
      </c>
      <c r="E13">
        <f t="shared" si="2"/>
        <v>0.68634675638484244</v>
      </c>
      <c r="F13">
        <f t="shared" si="3"/>
        <v>4.1956709501641681E-2</v>
      </c>
      <c r="G13" s="7">
        <f t="shared" si="4"/>
        <v>22006.974288258723</v>
      </c>
      <c r="H13" s="8">
        <f t="shared" si="5"/>
        <v>16.358450520481998</v>
      </c>
      <c r="I13" s="7">
        <f t="shared" si="6"/>
        <v>22006.974288258731</v>
      </c>
      <c r="J13" s="7">
        <f t="shared" si="7"/>
        <v>44036.412841388636</v>
      </c>
      <c r="K13" s="7">
        <f t="shared" si="8"/>
        <v>59030.044023309165</v>
      </c>
      <c r="L13" s="10">
        <f t="shared" si="9"/>
        <v>0.67276645496251231</v>
      </c>
      <c r="M13">
        <f t="shared" si="10"/>
        <v>31109.011658767777</v>
      </c>
      <c r="N13">
        <f t="shared" si="11"/>
        <v>0.29912511210353632</v>
      </c>
      <c r="O13">
        <f t="shared" si="12"/>
        <v>83444.74363831323</v>
      </c>
      <c r="P13" s="7">
        <f t="shared" si="13"/>
        <v>9102.0373705090533</v>
      </c>
      <c r="Q13" s="8">
        <f t="shared" si="14"/>
        <v>1.4488953443624877</v>
      </c>
      <c r="R13" s="7">
        <f t="shared" si="15"/>
        <v>24414.699615004065</v>
      </c>
      <c r="S13">
        <f t="shared" si="16"/>
        <v>5.1572561764619529</v>
      </c>
      <c r="T13" s="13">
        <f t="shared" si="17"/>
        <v>4.1956709501641702E-2</v>
      </c>
      <c r="U13" s="13">
        <f t="shared" si="18"/>
        <v>22006.974288258731</v>
      </c>
      <c r="V13" s="14">
        <f t="shared" si="19"/>
        <v>44036.412841388657</v>
      </c>
      <c r="W13" s="14">
        <f t="shared" si="20"/>
        <v>59030.044023309194</v>
      </c>
      <c r="X13" s="14">
        <f t="shared" si="21"/>
        <v>9102.037370509046</v>
      </c>
      <c r="Y13" s="15">
        <f t="shared" si="22"/>
        <v>1.4488953443624866</v>
      </c>
      <c r="Z13" s="14">
        <f t="shared" si="23"/>
        <v>24414.699615004036</v>
      </c>
      <c r="AA13" s="13">
        <f t="shared" si="24"/>
        <v>5.1572561764619467</v>
      </c>
      <c r="AC13">
        <f t="shared" si="25"/>
        <v>5361.8587666189705</v>
      </c>
      <c r="AD13">
        <f t="shared" si="26"/>
        <v>7.8433882463869544</v>
      </c>
      <c r="AF13">
        <f t="shared" si="27"/>
        <v>0.62910658198500502</v>
      </c>
      <c r="AG13">
        <f t="shared" si="28"/>
        <v>5113.7841378490975</v>
      </c>
      <c r="AH13">
        <f t="shared" si="29"/>
        <v>7.4805018459405375</v>
      </c>
    </row>
    <row r="14" spans="1:34" ht="12" customHeight="1">
      <c r="B14" s="8">
        <f t="shared" si="30"/>
        <v>209.97765334844669</v>
      </c>
      <c r="C14">
        <f t="shared" si="0"/>
        <v>755.91955205440809</v>
      </c>
      <c r="D14">
        <f t="shared" si="1"/>
        <v>10097.529628015413</v>
      </c>
      <c r="E14">
        <f t="shared" si="2"/>
        <v>0.64768317013449372</v>
      </c>
      <c r="F14">
        <f t="shared" si="3"/>
        <v>3.9333652656482879E-2</v>
      </c>
      <c r="G14" s="7">
        <f t="shared" si="4"/>
        <v>21862.718701480899</v>
      </c>
      <c r="H14" s="8">
        <f t="shared" si="5"/>
        <v>16.466387594129124</v>
      </c>
      <c r="I14" s="7">
        <f t="shared" si="6"/>
        <v>21862.718701480906</v>
      </c>
      <c r="J14" s="7">
        <f t="shared" si="7"/>
        <v>45034.594037478295</v>
      </c>
      <c r="K14" s="7">
        <f t="shared" si="8"/>
        <v>60368.088522088867</v>
      </c>
      <c r="L14" s="10">
        <f t="shared" si="9"/>
        <v>0.69255587141824293</v>
      </c>
      <c r="M14">
        <f t="shared" si="10"/>
        <v>31109.011658767777</v>
      </c>
      <c r="N14">
        <f t="shared" si="11"/>
        <v>0.29912511210353632</v>
      </c>
      <c r="O14">
        <f t="shared" si="12"/>
        <v>85899.269678842815</v>
      </c>
      <c r="P14" s="7">
        <f t="shared" si="13"/>
        <v>9246.2929572868779</v>
      </c>
      <c r="Q14" s="8">
        <f t="shared" si="14"/>
        <v>1.4718634846500958</v>
      </c>
      <c r="R14" s="7">
        <f t="shared" si="15"/>
        <v>25531.181156753948</v>
      </c>
      <c r="S14">
        <f t="shared" si="16"/>
        <v>5.3930969370649127</v>
      </c>
      <c r="T14" s="13">
        <f t="shared" si="17"/>
        <v>3.9333652656482886E-2</v>
      </c>
      <c r="U14" s="13">
        <f t="shared" si="18"/>
        <v>21862.718701480906</v>
      </c>
      <c r="V14" s="14">
        <f t="shared" si="19"/>
        <v>45034.594037478309</v>
      </c>
      <c r="W14" s="14">
        <f t="shared" si="20"/>
        <v>60368.088522088889</v>
      </c>
      <c r="X14" s="14">
        <f t="shared" si="21"/>
        <v>9246.2929572868707</v>
      </c>
      <c r="Y14" s="15">
        <f t="shared" si="22"/>
        <v>1.4718634846500944</v>
      </c>
      <c r="Z14" s="14">
        <f t="shared" si="23"/>
        <v>25531.181156753926</v>
      </c>
      <c r="AA14" s="13">
        <f t="shared" si="24"/>
        <v>5.3930969370649073</v>
      </c>
      <c r="AC14">
        <f t="shared" si="25"/>
        <v>5555.9973015402866</v>
      </c>
      <c r="AD14">
        <f t="shared" si="26"/>
        <v>7.8951408481222654</v>
      </c>
      <c r="AF14">
        <f t="shared" si="27"/>
        <v>0.63702234856729723</v>
      </c>
      <c r="AG14">
        <f t="shared" si="28"/>
        <v>5233.0948646019106</v>
      </c>
      <c r="AH14">
        <f t="shared" si="29"/>
        <v>7.4362924935480761</v>
      </c>
    </row>
    <row r="15" spans="1:34" ht="12" customHeight="1">
      <c r="B15" s="8">
        <f t="shared" si="30"/>
        <v>215.97765334844669</v>
      </c>
      <c r="C15">
        <f t="shared" si="0"/>
        <v>777.51955205440811</v>
      </c>
      <c r="D15">
        <f t="shared" si="1"/>
        <v>10682.837363747296</v>
      </c>
      <c r="E15">
        <f t="shared" si="2"/>
        <v>0.61219690774230007</v>
      </c>
      <c r="F15">
        <f t="shared" si="3"/>
        <v>3.7059972017907478E-2</v>
      </c>
      <c r="G15" s="7">
        <f t="shared" si="4"/>
        <v>21792.971767284289</v>
      </c>
      <c r="H15" s="8">
        <f t="shared" si="5"/>
        <v>16.519087155448602</v>
      </c>
      <c r="I15" s="7">
        <f t="shared" si="6"/>
        <v>21792.971767284293</v>
      </c>
      <c r="J15" s="7">
        <f t="shared" si="7"/>
        <v>46173.65798653059</v>
      </c>
      <c r="K15" s="7">
        <f t="shared" si="8"/>
        <v>61894.983896153608</v>
      </c>
      <c r="L15" s="10">
        <f t="shared" si="9"/>
        <v>0.71234528787397366</v>
      </c>
      <c r="M15">
        <f t="shared" si="10"/>
        <v>31109.011658767777</v>
      </c>
      <c r="N15">
        <f t="shared" si="11"/>
        <v>0.29912511210353632</v>
      </c>
      <c r="O15">
        <f t="shared" si="12"/>
        <v>88353.7957193724</v>
      </c>
      <c r="P15" s="7">
        <f t="shared" si="13"/>
        <v>9316.0398914834877</v>
      </c>
      <c r="Q15" s="8">
        <f t="shared" si="14"/>
        <v>1.4829685628627791</v>
      </c>
      <c r="R15" s="7">
        <f t="shared" si="15"/>
        <v>26458.811823218792</v>
      </c>
      <c r="S15">
        <f t="shared" si="16"/>
        <v>5.5890456507308919</v>
      </c>
      <c r="T15" s="13">
        <f t="shared" si="17"/>
        <v>3.7059972017907485E-2</v>
      </c>
      <c r="U15" s="13">
        <f t="shared" si="18"/>
        <v>21792.971767284293</v>
      </c>
      <c r="V15" s="14">
        <f t="shared" si="19"/>
        <v>46173.657986530598</v>
      </c>
      <c r="W15" s="14">
        <f t="shared" si="20"/>
        <v>61894.983896153615</v>
      </c>
      <c r="X15" s="14">
        <f t="shared" si="21"/>
        <v>9316.0398914834841</v>
      </c>
      <c r="Y15" s="15">
        <f t="shared" si="22"/>
        <v>1.4829685628627784</v>
      </c>
      <c r="Z15" s="14">
        <f t="shared" si="23"/>
        <v>26458.811823218784</v>
      </c>
      <c r="AA15" s="13">
        <f t="shared" si="24"/>
        <v>5.589045650730891</v>
      </c>
      <c r="AC15">
        <f t="shared" si="25"/>
        <v>5733.046669331573</v>
      </c>
      <c r="AD15">
        <f t="shared" si="26"/>
        <v>7.920408713151744</v>
      </c>
      <c r="AF15">
        <f t="shared" si="27"/>
        <v>0.64493811514958954</v>
      </c>
      <c r="AG15">
        <f t="shared" si="28"/>
        <v>5333.5784020162864</v>
      </c>
      <c r="AH15">
        <f t="shared" si="29"/>
        <v>7.3685290359816795</v>
      </c>
    </row>
    <row r="16" spans="1:34" ht="12" customHeight="1">
      <c r="B16" s="8">
        <f t="shared" si="30"/>
        <v>221.97765334844669</v>
      </c>
      <c r="C16">
        <f t="shared" si="0"/>
        <v>799.11955205440813</v>
      </c>
      <c r="D16">
        <f t="shared" si="1"/>
        <v>11284.634371283886</v>
      </c>
      <c r="E16">
        <f t="shared" si="2"/>
        <v>0.57954912714251505</v>
      </c>
      <c r="F16">
        <f t="shared" si="3"/>
        <v>3.5081283770020122E-2</v>
      </c>
      <c r="G16" s="7">
        <f t="shared" si="4"/>
        <v>21791.52994238161</v>
      </c>
      <c r="H16" s="8">
        <f t="shared" si="5"/>
        <v>16.520180131999275</v>
      </c>
      <c r="I16" s="7">
        <f t="shared" si="6"/>
        <v>21791.52994238161</v>
      </c>
      <c r="J16" s="7">
        <f t="shared" si="7"/>
        <v>47453.252585721188</v>
      </c>
      <c r="K16" s="7">
        <f t="shared" si="8"/>
        <v>63610.258157803204</v>
      </c>
      <c r="L16" s="10">
        <f t="shared" si="9"/>
        <v>0.73213470432970429</v>
      </c>
      <c r="M16">
        <f t="shared" si="10"/>
        <v>31109.011658767777</v>
      </c>
      <c r="N16">
        <f t="shared" si="11"/>
        <v>0.29912511210353632</v>
      </c>
      <c r="O16">
        <f t="shared" si="12"/>
        <v>90808.321759901984</v>
      </c>
      <c r="P16" s="7">
        <f t="shared" si="13"/>
        <v>9317.4817163861662</v>
      </c>
      <c r="Q16" s="8">
        <f t="shared" si="14"/>
        <v>1.4831981302178547</v>
      </c>
      <c r="R16" s="7">
        <f t="shared" si="15"/>
        <v>27198.06360209878</v>
      </c>
      <c r="S16">
        <f t="shared" si="16"/>
        <v>5.7452020181123826</v>
      </c>
      <c r="T16" s="13">
        <f t="shared" si="17"/>
        <v>3.5081283770020122E-2</v>
      </c>
      <c r="U16" s="13">
        <f t="shared" si="18"/>
        <v>21791.52994238161</v>
      </c>
      <c r="V16" s="14">
        <f t="shared" si="19"/>
        <v>47453.252585721188</v>
      </c>
      <c r="W16" s="14">
        <f t="shared" si="20"/>
        <v>63610.258157803204</v>
      </c>
      <c r="X16" s="14">
        <f t="shared" si="21"/>
        <v>9317.4817163861662</v>
      </c>
      <c r="Y16" s="15">
        <f t="shared" si="22"/>
        <v>1.4831981302178547</v>
      </c>
      <c r="Z16" s="14">
        <f t="shared" si="23"/>
        <v>27198.06360209878</v>
      </c>
      <c r="AA16" s="13">
        <f t="shared" si="24"/>
        <v>5.7452020181123826</v>
      </c>
      <c r="AC16">
        <f t="shared" si="25"/>
        <v>5892.7043048513933</v>
      </c>
      <c r="AD16">
        <f t="shared" si="26"/>
        <v>7.9209327627504766</v>
      </c>
      <c r="AF16">
        <f t="shared" si="27"/>
        <v>0.65285388173188175</v>
      </c>
      <c r="AG16">
        <f t="shared" si="28"/>
        <v>5415.6415115915142</v>
      </c>
      <c r="AH16">
        <f t="shared" si="29"/>
        <v>7.2796682238340402</v>
      </c>
    </row>
    <row r="17" spans="1:34" ht="12" customHeight="1">
      <c r="B17" s="8">
        <f t="shared" si="30"/>
        <v>227.97765334844669</v>
      </c>
      <c r="C17">
        <f t="shared" si="0"/>
        <v>820.71955205440815</v>
      </c>
      <c r="D17">
        <f t="shared" si="1"/>
        <v>11902.920650625185</v>
      </c>
      <c r="E17">
        <f t="shared" si="2"/>
        <v>0.54944498009877052</v>
      </c>
      <c r="F17">
        <f t="shared" si="3"/>
        <v>3.3352829088363609E-2</v>
      </c>
      <c r="G17" s="7">
        <f t="shared" si="4"/>
        <v>21852.995125467274</v>
      </c>
      <c r="H17" s="8">
        <f t="shared" si="5"/>
        <v>16.473714377964569</v>
      </c>
      <c r="I17" s="7">
        <f t="shared" si="6"/>
        <v>21852.995125467281</v>
      </c>
      <c r="J17" s="7">
        <f t="shared" si="7"/>
        <v>48873.366509396314</v>
      </c>
      <c r="K17" s="7">
        <f t="shared" si="8"/>
        <v>65513.89612519613</v>
      </c>
      <c r="L17" s="10">
        <f t="shared" si="9"/>
        <v>0.75192412078543491</v>
      </c>
      <c r="M17">
        <f t="shared" si="10"/>
        <v>31109.011658767777</v>
      </c>
      <c r="N17">
        <f t="shared" si="11"/>
        <v>0.29912511210353632</v>
      </c>
      <c r="O17">
        <f t="shared" si="12"/>
        <v>93262.847800431584</v>
      </c>
      <c r="P17" s="7">
        <f t="shared" si="13"/>
        <v>9256.0165333005025</v>
      </c>
      <c r="Q17" s="8">
        <f t="shared" si="14"/>
        <v>1.4734116651021698</v>
      </c>
      <c r="R17" s="7">
        <f t="shared" si="15"/>
        <v>27748.951675235454</v>
      </c>
      <c r="S17">
        <f t="shared" si="16"/>
        <v>5.8615692461563169</v>
      </c>
      <c r="T17" s="13">
        <f t="shared" si="17"/>
        <v>3.3352829088363616E-2</v>
      </c>
      <c r="U17" s="13">
        <f t="shared" si="18"/>
        <v>21852.995125467281</v>
      </c>
      <c r="V17" s="14">
        <f t="shared" si="19"/>
        <v>48873.366509396328</v>
      </c>
      <c r="W17" s="14">
        <f t="shared" si="20"/>
        <v>65513.896125196152</v>
      </c>
      <c r="X17" s="14">
        <f t="shared" si="21"/>
        <v>9256.0165333004952</v>
      </c>
      <c r="Y17" s="15">
        <f t="shared" si="22"/>
        <v>1.4734116651021687</v>
      </c>
      <c r="Z17" s="14">
        <f t="shared" si="23"/>
        <v>27748.951675235432</v>
      </c>
      <c r="AA17" s="13">
        <f t="shared" si="24"/>
        <v>5.8615692461563125</v>
      </c>
      <c r="AC17">
        <f t="shared" si="25"/>
        <v>6034.9604088173719</v>
      </c>
      <c r="AD17">
        <f t="shared" si="26"/>
        <v>7.8986538220525775</v>
      </c>
      <c r="AF17">
        <f t="shared" si="27"/>
        <v>0.66076964831417406</v>
      </c>
      <c r="AG17">
        <f t="shared" si="28"/>
        <v>5479.9373042158377</v>
      </c>
      <c r="AH17">
        <f t="shared" si="29"/>
        <v>7.1722306030894103</v>
      </c>
    </row>
    <row r="18" spans="1:34" ht="12" customHeight="1">
      <c r="B18" s="8">
        <f t="shared" si="30"/>
        <v>233.97765334844669</v>
      </c>
      <c r="C18">
        <f t="shared" si="0"/>
        <v>842.31955205440806</v>
      </c>
      <c r="D18">
        <f t="shared" si="1"/>
        <v>12537.69620177119</v>
      </c>
      <c r="E18">
        <f t="shared" si="2"/>
        <v>0.52162693167474417</v>
      </c>
      <c r="F18">
        <f t="shared" si="3"/>
        <v>3.1837575627493023E-2</v>
      </c>
      <c r="G18" s="7">
        <f t="shared" si="4"/>
        <v>21972.652349637923</v>
      </c>
      <c r="H18" s="8">
        <f t="shared" si="5"/>
        <v>16.384002908321275</v>
      </c>
      <c r="I18" s="7">
        <f t="shared" si="6"/>
        <v>21972.652349637923</v>
      </c>
      <c r="J18" s="7">
        <f t="shared" si="7"/>
        <v>50434.285515519347</v>
      </c>
      <c r="K18" s="7">
        <f t="shared" si="8"/>
        <v>67606.280851902615</v>
      </c>
      <c r="L18" s="10">
        <f t="shared" si="9"/>
        <v>0.77171353724116554</v>
      </c>
      <c r="M18">
        <f t="shared" si="10"/>
        <v>31109.011658767777</v>
      </c>
      <c r="N18">
        <f t="shared" si="11"/>
        <v>0.29912511210353632</v>
      </c>
      <c r="O18">
        <f t="shared" si="12"/>
        <v>95717.373840961154</v>
      </c>
      <c r="P18" s="7">
        <f t="shared" si="13"/>
        <v>9136.3593091298535</v>
      </c>
      <c r="Q18" s="8">
        <f t="shared" si="14"/>
        <v>1.454360006450792</v>
      </c>
      <c r="R18" s="7">
        <f t="shared" si="15"/>
        <v>28111.092989058539</v>
      </c>
      <c r="S18">
        <f t="shared" si="16"/>
        <v>5.9380664202734375</v>
      </c>
      <c r="T18" s="13">
        <f t="shared" si="17"/>
        <v>3.1837575627493023E-2</v>
      </c>
      <c r="U18" s="13">
        <f t="shared" si="18"/>
        <v>21972.652349637923</v>
      </c>
      <c r="V18" s="14">
        <f t="shared" si="19"/>
        <v>50434.285515519347</v>
      </c>
      <c r="W18" s="14">
        <f t="shared" si="20"/>
        <v>67606.280851902615</v>
      </c>
      <c r="X18" s="14">
        <f t="shared" si="21"/>
        <v>9136.3593091298535</v>
      </c>
      <c r="Y18" s="15">
        <f t="shared" si="22"/>
        <v>1.454360006450792</v>
      </c>
      <c r="Z18" s="14">
        <f t="shared" si="23"/>
        <v>28111.092989058539</v>
      </c>
      <c r="AA18" s="13">
        <f t="shared" si="24"/>
        <v>5.9380664202734375</v>
      </c>
      <c r="AC18">
        <f t="shared" si="25"/>
        <v>6160.0609857192967</v>
      </c>
      <c r="AD18">
        <f t="shared" si="26"/>
        <v>7.8556398528697819</v>
      </c>
      <c r="AF18">
        <f t="shared" si="27"/>
        <v>0.66868541489646627</v>
      </c>
      <c r="AG18">
        <f t="shared" si="28"/>
        <v>5527.3174935389325</v>
      </c>
      <c r="AH18">
        <f t="shared" si="29"/>
        <v>7.04873144638821</v>
      </c>
    </row>
    <row r="19" spans="1:34" ht="12" customHeight="1">
      <c r="B19" s="8">
        <f t="shared" si="30"/>
        <v>239.97765334844669</v>
      </c>
      <c r="C19">
        <f t="shared" si="0"/>
        <v>863.91955205440809</v>
      </c>
      <c r="D19">
        <f t="shared" si="1"/>
        <v>13188.961024721903</v>
      </c>
      <c r="E19">
        <f t="shared" si="2"/>
        <v>0.49586923395566701</v>
      </c>
      <c r="F19">
        <f t="shared" si="3"/>
        <v>3.050473010002959E-2</v>
      </c>
      <c r="G19" s="7">
        <f t="shared" si="4"/>
        <v>22146.368606914748</v>
      </c>
      <c r="H19" s="8">
        <f t="shared" si="5"/>
        <v>16.255486684512118</v>
      </c>
      <c r="I19" s="7">
        <f t="shared" si="6"/>
        <v>22146.368606914755</v>
      </c>
      <c r="J19" s="7">
        <f t="shared" si="7"/>
        <v>52136.555306760449</v>
      </c>
      <c r="K19" s="7">
        <f t="shared" si="8"/>
        <v>69888.14384284243</v>
      </c>
      <c r="L19" s="10">
        <f t="shared" si="9"/>
        <v>0.79150295369689627</v>
      </c>
      <c r="M19">
        <f t="shared" si="10"/>
        <v>31109.011658767777</v>
      </c>
      <c r="N19">
        <f t="shared" si="11"/>
        <v>0.29912511210353632</v>
      </c>
      <c r="O19">
        <f t="shared" si="12"/>
        <v>98171.899881490754</v>
      </c>
      <c r="P19" s="7">
        <f t="shared" si="13"/>
        <v>8962.6430518530287</v>
      </c>
      <c r="Q19" s="8">
        <f t="shared" si="14"/>
        <v>1.4267014285386812</v>
      </c>
      <c r="R19" s="7">
        <f t="shared" si="15"/>
        <v>28283.756038648324</v>
      </c>
      <c r="S19">
        <f t="shared" si="16"/>
        <v>5.9745390205095843</v>
      </c>
      <c r="T19" s="13">
        <f t="shared" si="17"/>
        <v>3.0504730100029593E-2</v>
      </c>
      <c r="U19" s="13">
        <f t="shared" si="18"/>
        <v>22146.368606914755</v>
      </c>
      <c r="V19" s="14">
        <f t="shared" si="19"/>
        <v>52136.555306760463</v>
      </c>
      <c r="W19" s="14">
        <f t="shared" si="20"/>
        <v>69888.143842842444</v>
      </c>
      <c r="X19" s="14">
        <f t="shared" si="21"/>
        <v>8962.6430518530215</v>
      </c>
      <c r="Y19" s="15">
        <f t="shared" si="22"/>
        <v>1.4267014285386801</v>
      </c>
      <c r="Z19" s="14">
        <f t="shared" si="23"/>
        <v>28283.756038648309</v>
      </c>
      <c r="AA19" s="13">
        <f t="shared" si="24"/>
        <v>5.9745390205095816</v>
      </c>
      <c r="AC19">
        <f t="shared" si="25"/>
        <v>6268.4677136610553</v>
      </c>
      <c r="AD19">
        <f t="shared" si="26"/>
        <v>7.7940201635212905</v>
      </c>
      <c r="AF19">
        <f t="shared" si="27"/>
        <v>0.67660118147875858</v>
      </c>
      <c r="AG19">
        <f t="shared" si="28"/>
        <v>5558.7851915607544</v>
      </c>
      <c r="AH19">
        <f t="shared" si="29"/>
        <v>6.9116227197418612</v>
      </c>
    </row>
    <row r="20" spans="1:34" ht="12" customHeight="1">
      <c r="B20" s="8">
        <f t="shared" si="30"/>
        <v>245.97765334844669</v>
      </c>
      <c r="C20">
        <f t="shared" si="0"/>
        <v>885.51955205440811</v>
      </c>
      <c r="D20">
        <f t="shared" si="1"/>
        <v>13856.715119477323</v>
      </c>
      <c r="E20">
        <f t="shared" si="2"/>
        <v>0.47197333160203481</v>
      </c>
      <c r="F20">
        <f t="shared" si="3"/>
        <v>2.9328565378494154E-2</v>
      </c>
      <c r="G20" s="7">
        <f t="shared" si="4"/>
        <v>22370.508732812425</v>
      </c>
      <c r="H20" s="8">
        <f t="shared" si="5"/>
        <v>16.092615697736111</v>
      </c>
      <c r="I20" s="7">
        <f t="shared" si="6"/>
        <v>22370.508732812425</v>
      </c>
      <c r="J20" s="7">
        <f t="shared" si="7"/>
        <v>53980.949827042801</v>
      </c>
      <c r="K20" s="7">
        <f t="shared" si="8"/>
        <v>72360.522556357639</v>
      </c>
      <c r="L20" s="10">
        <f t="shared" si="9"/>
        <v>0.8112923701526269</v>
      </c>
      <c r="M20">
        <f t="shared" si="10"/>
        <v>31109.011658767777</v>
      </c>
      <c r="N20">
        <f t="shared" si="11"/>
        <v>0.29912511210353632</v>
      </c>
      <c r="O20">
        <f t="shared" si="12"/>
        <v>100626.42592202032</v>
      </c>
      <c r="P20" s="7">
        <f t="shared" si="13"/>
        <v>8738.5029259553521</v>
      </c>
      <c r="Q20" s="8">
        <f t="shared" si="14"/>
        <v>1.3910150048575831</v>
      </c>
      <c r="R20" s="7">
        <f t="shared" si="15"/>
        <v>28265.903365662685</v>
      </c>
      <c r="S20">
        <f t="shared" si="16"/>
        <v>5.9707678986250885</v>
      </c>
      <c r="T20" s="13">
        <f t="shared" si="17"/>
        <v>2.932856537849415E-2</v>
      </c>
      <c r="U20" s="13">
        <f t="shared" si="18"/>
        <v>22370.508732812425</v>
      </c>
      <c r="V20" s="14">
        <f t="shared" si="19"/>
        <v>53980.949827042801</v>
      </c>
      <c r="W20" s="14">
        <f t="shared" si="20"/>
        <v>72360.522556357639</v>
      </c>
      <c r="X20" s="14">
        <f t="shared" si="21"/>
        <v>8738.5029259553521</v>
      </c>
      <c r="Y20" s="15">
        <f t="shared" si="22"/>
        <v>1.3910150048575831</v>
      </c>
      <c r="Z20" s="14">
        <f t="shared" si="23"/>
        <v>28265.903365662685</v>
      </c>
      <c r="AA20" s="13">
        <f t="shared" si="24"/>
        <v>5.9707678986250885</v>
      </c>
      <c r="AC20">
        <f t="shared" si="25"/>
        <v>6360.8171089141142</v>
      </c>
      <c r="AD20">
        <f t="shared" si="26"/>
        <v>7.7159283918246437</v>
      </c>
      <c r="AF20">
        <f t="shared" si="27"/>
        <v>0.68451694806105079</v>
      </c>
      <c r="AG20">
        <f t="shared" si="28"/>
        <v>5575.4503612496128</v>
      </c>
      <c r="AH20">
        <f t="shared" si="29"/>
        <v>6.763246765778959</v>
      </c>
    </row>
    <row r="21" spans="1:34" ht="12" customHeight="1">
      <c r="B21" s="8">
        <f t="shared" si="30"/>
        <v>251.97765334844669</v>
      </c>
      <c r="C21">
        <f t="shared" si="0"/>
        <v>907.11955205440813</v>
      </c>
      <c r="D21">
        <f t="shared" si="1"/>
        <v>14540.958486037451</v>
      </c>
      <c r="E21">
        <f t="shared" si="2"/>
        <v>0.44976402389703907</v>
      </c>
      <c r="F21">
        <f t="shared" si="3"/>
        <v>2.8287489928558077E-2</v>
      </c>
      <c r="G21" s="7">
        <f t="shared" si="4"/>
        <v>22641.865140845803</v>
      </c>
      <c r="H21" s="8">
        <f t="shared" si="5"/>
        <v>15.899750208765353</v>
      </c>
      <c r="I21" s="7">
        <f t="shared" si="6"/>
        <v>22641.865140845803</v>
      </c>
      <c r="J21" s="7">
        <f t="shared" si="7"/>
        <v>55968.444087554992</v>
      </c>
      <c r="K21" s="7">
        <f t="shared" si="8"/>
        <v>75024.723977955757</v>
      </c>
      <c r="L21" s="10">
        <f t="shared" si="9"/>
        <v>0.83108178660835752</v>
      </c>
      <c r="M21">
        <f t="shared" si="10"/>
        <v>31109.011658767777</v>
      </c>
      <c r="N21">
        <f t="shared" si="11"/>
        <v>0.29912511210353632</v>
      </c>
      <c r="O21">
        <f t="shared" si="12"/>
        <v>103080.95196254992</v>
      </c>
      <c r="P21" s="7">
        <f t="shared" si="13"/>
        <v>8467.146517921974</v>
      </c>
      <c r="Q21" s="8">
        <f t="shared" si="14"/>
        <v>1.3478117714370985</v>
      </c>
      <c r="R21" s="7">
        <f t="shared" si="15"/>
        <v>28056.227984594167</v>
      </c>
      <c r="S21">
        <f t="shared" si="16"/>
        <v>5.9264769726206952</v>
      </c>
      <c r="T21" s="13">
        <f t="shared" si="17"/>
        <v>2.8695606224143456E-2</v>
      </c>
      <c r="U21" s="13">
        <f t="shared" si="18"/>
        <v>22968.529477263186</v>
      </c>
      <c r="V21" s="14">
        <f t="shared" si="19"/>
        <v>56775.925915330401</v>
      </c>
      <c r="W21" s="14">
        <f t="shared" si="20"/>
        <v>76107.139296689551</v>
      </c>
      <c r="X21" s="14">
        <f t="shared" si="21"/>
        <v>8140.4821815045907</v>
      </c>
      <c r="Y21" s="15">
        <f t="shared" si="22"/>
        <v>1.2958038589270822</v>
      </c>
      <c r="Z21" s="14">
        <f t="shared" si="23"/>
        <v>26973.812665860372</v>
      </c>
      <c r="AA21" s="13">
        <f t="shared" si="24"/>
        <v>5.6978322145010294</v>
      </c>
      <c r="AC21">
        <f t="shared" si="25"/>
        <v>6346.3197730000466</v>
      </c>
      <c r="AD21">
        <f t="shared" si="26"/>
        <v>7.5150324117151879</v>
      </c>
      <c r="AF21">
        <f t="shared" si="27"/>
        <v>0.69243271464334311</v>
      </c>
      <c r="AG21">
        <f t="shared" si="28"/>
        <v>5499.1507236357811</v>
      </c>
      <c r="AH21">
        <f t="shared" si="29"/>
        <v>6.5118521289849935</v>
      </c>
    </row>
    <row r="22" spans="1:34" ht="12" customHeight="1">
      <c r="B22" s="8">
        <f t="shared" si="30"/>
        <v>257.97765334844667</v>
      </c>
      <c r="C22">
        <f t="shared" si="0"/>
        <v>928.71955205440804</v>
      </c>
      <c r="D22">
        <f t="shared" si="1"/>
        <v>15241.691124402283</v>
      </c>
      <c r="E22">
        <f t="shared" si="2"/>
        <v>0.42908624421139963</v>
      </c>
      <c r="F22">
        <f t="shared" si="3"/>
        <v>2.7363305197982364E-2</v>
      </c>
      <c r="G22" s="7">
        <f t="shared" si="4"/>
        <v>22957.59886075589</v>
      </c>
      <c r="H22" s="8">
        <f t="shared" si="5"/>
        <v>15.681082424320522</v>
      </c>
      <c r="I22" s="7">
        <f t="shared" si="6"/>
        <v>22957.59886075589</v>
      </c>
      <c r="J22" s="7">
        <f t="shared" si="7"/>
        <v>58100.190784811348</v>
      </c>
      <c r="K22" s="7">
        <f t="shared" si="8"/>
        <v>77882.293277227014</v>
      </c>
      <c r="L22" s="10">
        <f t="shared" si="9"/>
        <v>0.85087120306408814</v>
      </c>
      <c r="M22">
        <f t="shared" si="10"/>
        <v>31109.011658767777</v>
      </c>
      <c r="N22">
        <f t="shared" si="11"/>
        <v>0.29912511210353632</v>
      </c>
      <c r="O22">
        <f t="shared" si="12"/>
        <v>105535.47800307948</v>
      </c>
      <c r="P22" s="7">
        <f t="shared" si="13"/>
        <v>8151.4127980118865</v>
      </c>
      <c r="Q22" s="8">
        <f t="shared" si="14"/>
        <v>1.2975440942869831</v>
      </c>
      <c r="R22" s="7">
        <f t="shared" si="15"/>
        <v>27653.184725852465</v>
      </c>
      <c r="S22">
        <f t="shared" si="16"/>
        <v>5.841339847515556</v>
      </c>
      <c r="T22" s="13">
        <f t="shared" si="17"/>
        <v>3.4847840693872076E-2</v>
      </c>
      <c r="U22" s="13">
        <f t="shared" si="18"/>
        <v>29237.065552754571</v>
      </c>
      <c r="V22" s="14">
        <f t="shared" si="19"/>
        <v>73992.01880414538</v>
      </c>
      <c r="W22" s="14">
        <f t="shared" si="20"/>
        <v>99185.011801803455</v>
      </c>
      <c r="X22" s="14">
        <f t="shared" si="21"/>
        <v>1871.9461060132053</v>
      </c>
      <c r="Y22" s="15">
        <f t="shared" si="22"/>
        <v>0.29795276458053277</v>
      </c>
      <c r="Z22" s="14">
        <f t="shared" si="23"/>
        <v>6350.4662012760236</v>
      </c>
      <c r="AA22" s="13">
        <f t="shared" si="24"/>
        <v>1.3414451767334676</v>
      </c>
      <c r="AC22">
        <f t="shared" si="25"/>
        <v>5104.3614689892629</v>
      </c>
      <c r="AD22">
        <f t="shared" si="26"/>
        <v>5.9037813887175874</v>
      </c>
      <c r="AF22">
        <f t="shared" si="27"/>
        <v>0.70034848122563531</v>
      </c>
      <c r="AG22">
        <f t="shared" si="28"/>
        <v>4372.9899664148143</v>
      </c>
      <c r="AH22">
        <f t="shared" si="29"/>
        <v>5.0578660883671134</v>
      </c>
    </row>
    <row r="23" spans="1:34" ht="12" customHeight="1">
      <c r="B23" s="8">
        <f t="shared" si="30"/>
        <v>263.97765334844667</v>
      </c>
      <c r="C23">
        <f t="shared" si="0"/>
        <v>950.31955205440806</v>
      </c>
      <c r="D23">
        <f t="shared" si="1"/>
        <v>15958.913034571822</v>
      </c>
      <c r="E23">
        <f t="shared" si="2"/>
        <v>0.40980234592621595</v>
      </c>
      <c r="F23">
        <f t="shared" si="3"/>
        <v>2.6540609710657213E-2</v>
      </c>
      <c r="G23" s="7">
        <f t="shared" si="4"/>
        <v>23315.189849003167</v>
      </c>
      <c r="H23" s="8">
        <f t="shared" si="5"/>
        <v>15.440577680536947</v>
      </c>
      <c r="I23" s="7">
        <f t="shared" si="6"/>
        <v>23315.189849003174</v>
      </c>
      <c r="J23" s="7">
        <f t="shared" si="7"/>
        <v>60377.50010742827</v>
      </c>
      <c r="K23" s="7">
        <f t="shared" si="8"/>
        <v>80934.986739179993</v>
      </c>
      <c r="L23" s="10">
        <f t="shared" si="9"/>
        <v>0.87066061951981877</v>
      </c>
      <c r="M23">
        <f t="shared" si="10"/>
        <v>31109.011658767777</v>
      </c>
      <c r="N23">
        <f t="shared" si="11"/>
        <v>0.29912511210353632</v>
      </c>
      <c r="O23">
        <f t="shared" si="12"/>
        <v>107990.00404360908</v>
      </c>
      <c r="P23" s="7">
        <f t="shared" si="13"/>
        <v>7793.8218097646095</v>
      </c>
      <c r="Q23" s="8">
        <f t="shared" si="14"/>
        <v>1.2406135637442253</v>
      </c>
      <c r="R23" s="7">
        <f t="shared" si="15"/>
        <v>27055.017304429086</v>
      </c>
      <c r="S23">
        <f t="shared" si="16"/>
        <v>5.7149855332155672</v>
      </c>
      <c r="T23" s="13">
        <f t="shared" si="17"/>
        <v>4.0417441224380207E-2</v>
      </c>
      <c r="U23" s="13">
        <f t="shared" si="18"/>
        <v>35505.60162824596</v>
      </c>
      <c r="V23" s="14">
        <f t="shared" si="19"/>
        <v>91946.043759767228</v>
      </c>
      <c r="W23" s="14">
        <f t="shared" si="20"/>
        <v>123252.06938306599</v>
      </c>
      <c r="X23" s="14">
        <f t="shared" si="21"/>
        <v>-4396.5899694781838</v>
      </c>
      <c r="Y23" s="15">
        <f t="shared" si="22"/>
        <v>-0.69980796708388804</v>
      </c>
      <c r="Z23" s="14">
        <f t="shared" si="23"/>
        <v>-15262.065339456909</v>
      </c>
      <c r="AA23" s="13">
        <f t="shared" si="24"/>
        <v>-3.2238930635504741</v>
      </c>
      <c r="AC23">
        <f t="shared" si="25"/>
        <v>4300.9401887676613</v>
      </c>
      <c r="AD23">
        <f t="shared" si="26"/>
        <v>4.861465108473241</v>
      </c>
      <c r="AF23">
        <f t="shared" si="27"/>
        <v>0.70826424780792752</v>
      </c>
      <c r="AG23">
        <f t="shared" si="28"/>
        <v>3643.5046965132333</v>
      </c>
      <c r="AH23">
        <f t="shared" si="29"/>
        <v>4.1183485882728981</v>
      </c>
    </row>
    <row r="24" spans="1:34" ht="12" customHeight="1">
      <c r="B24" s="8">
        <f t="shared" si="30"/>
        <v>269.97765334844667</v>
      </c>
      <c r="C24">
        <f t="shared" si="0"/>
        <v>971.91955205440797</v>
      </c>
      <c r="D24">
        <f t="shared" si="1"/>
        <v>16692.624216546075</v>
      </c>
      <c r="E24">
        <f t="shared" si="2"/>
        <v>0.39178980579443085</v>
      </c>
      <c r="F24">
        <f t="shared" si="3"/>
        <v>2.5806318358753015E-2</v>
      </c>
      <c r="G24" s="7">
        <f t="shared" si="4"/>
        <v>23712.394941755127</v>
      </c>
      <c r="H24" s="8">
        <f t="shared" si="5"/>
        <v>15.181933367939838</v>
      </c>
      <c r="I24" s="7">
        <f t="shared" si="6"/>
        <v>23712.394941755127</v>
      </c>
      <c r="J24" s="7">
        <f t="shared" si="7"/>
        <v>62801.822235553402</v>
      </c>
      <c r="K24" s="7">
        <f t="shared" si="8"/>
        <v>84184.748305031375</v>
      </c>
      <c r="L24" s="10">
        <f t="shared" si="9"/>
        <v>0.89045003597554939</v>
      </c>
      <c r="M24">
        <f t="shared" si="10"/>
        <v>31109.011658767777</v>
      </c>
      <c r="N24">
        <f t="shared" si="11"/>
        <v>0.29912511210353632</v>
      </c>
      <c r="O24">
        <f t="shared" si="12"/>
        <v>110444.53008413866</v>
      </c>
      <c r="P24" s="7">
        <f t="shared" si="13"/>
        <v>7396.61671701265</v>
      </c>
      <c r="Q24" s="8">
        <f t="shared" si="14"/>
        <v>1.1773776746372475</v>
      </c>
      <c r="R24" s="7">
        <f t="shared" si="15"/>
        <v>26259.781779107288</v>
      </c>
      <c r="S24">
        <f t="shared" si="16"/>
        <v>5.5470033999360178</v>
      </c>
      <c r="T24" s="13">
        <f t="shared" si="17"/>
        <v>4.5463003606047402E-2</v>
      </c>
      <c r="U24" s="13">
        <f t="shared" si="18"/>
        <v>41774.137703737346</v>
      </c>
      <c r="V24" s="14">
        <f t="shared" si="19"/>
        <v>110638.0007821959</v>
      </c>
      <c r="W24" s="14">
        <f t="shared" si="20"/>
        <v>148308.31204047709</v>
      </c>
      <c r="X24" s="14">
        <f t="shared" si="21"/>
        <v>-10665.126044969569</v>
      </c>
      <c r="Y24" s="15">
        <f t="shared" si="22"/>
        <v>-1.6977809700706412</v>
      </c>
      <c r="Z24" s="14">
        <f t="shared" si="23"/>
        <v>-37863.781956338426</v>
      </c>
      <c r="AA24" s="13">
        <f t="shared" si="24"/>
        <v>-7.9981825063507941</v>
      </c>
      <c r="AC24">
        <f t="shared" si="25"/>
        <v>3738.6382017606311</v>
      </c>
      <c r="AD24">
        <f t="shared" si="26"/>
        <v>4.1319642477174563</v>
      </c>
      <c r="AF24">
        <f t="shared" si="27"/>
        <v>0.71618001439021983</v>
      </c>
      <c r="AG24">
        <f t="shared" si="28"/>
        <v>3132.1495657293663</v>
      </c>
      <c r="AH24">
        <f t="shared" si="29"/>
        <v>3.4616695506943618</v>
      </c>
    </row>
    <row r="25" spans="1:34" ht="12" customHeight="1">
      <c r="B25" s="8">
        <f t="shared" si="30"/>
        <v>275.97765334844667</v>
      </c>
      <c r="C25">
        <f t="shared" si="0"/>
        <v>993.519552054408</v>
      </c>
      <c r="D25">
        <f t="shared" si="1"/>
        <v>17442.82467032503</v>
      </c>
      <c r="E25">
        <f t="shared" si="2"/>
        <v>0.37493927294507012</v>
      </c>
      <c r="F25">
        <f t="shared" si="3"/>
        <v>2.5149272671927909E-2</v>
      </c>
      <c r="G25" s="7">
        <f t="shared" si="4"/>
        <v>24147.21213592487</v>
      </c>
      <c r="H25" s="8">
        <f t="shared" si="5"/>
        <v>14.908553334171941</v>
      </c>
      <c r="I25" s="7">
        <f t="shared" si="6"/>
        <v>24147.212135924878</v>
      </c>
      <c r="J25" s="7">
        <f t="shared" si="7"/>
        <v>65374.732123162648</v>
      </c>
      <c r="K25" s="7">
        <f t="shared" si="8"/>
        <v>87633.689173140287</v>
      </c>
      <c r="L25" s="10">
        <f t="shared" si="9"/>
        <v>0.91023945243128002</v>
      </c>
      <c r="M25">
        <f t="shared" si="10"/>
        <v>31109.011658767777</v>
      </c>
      <c r="N25">
        <f t="shared" si="11"/>
        <v>0.29912511210353632</v>
      </c>
      <c r="O25">
        <f t="shared" si="12"/>
        <v>112899.05612466826</v>
      </c>
      <c r="P25" s="7">
        <f t="shared" si="13"/>
        <v>6961.7995228429063</v>
      </c>
      <c r="Q25" s="8">
        <f t="shared" si="14"/>
        <v>1.1081555010582398</v>
      </c>
      <c r="R25" s="7">
        <f t="shared" si="15"/>
        <v>25265.366951527976</v>
      </c>
      <c r="S25">
        <f t="shared" si="16"/>
        <v>5.3369474872125586</v>
      </c>
      <c r="T25" s="13">
        <f t="shared" si="17"/>
        <v>5.0036347714225576E-2</v>
      </c>
      <c r="U25" s="13">
        <f t="shared" si="18"/>
        <v>48042.673779228731</v>
      </c>
      <c r="V25" s="14">
        <f t="shared" si="19"/>
        <v>130067.88987143141</v>
      </c>
      <c r="W25" s="14">
        <f t="shared" si="20"/>
        <v>174353.73977403675</v>
      </c>
      <c r="X25" s="14">
        <f t="shared" si="21"/>
        <v>-16933.662120460955</v>
      </c>
      <c r="Y25" s="15">
        <f t="shared" si="22"/>
        <v>-2.696269458459355</v>
      </c>
      <c r="Z25" s="14">
        <f t="shared" si="23"/>
        <v>-61454.683649368482</v>
      </c>
      <c r="AA25" s="13">
        <f t="shared" si="24"/>
        <v>-12.981423151667485</v>
      </c>
      <c r="AC25">
        <f t="shared" si="25"/>
        <v>3323.0728558935839</v>
      </c>
      <c r="AD25">
        <f t="shared" si="26"/>
        <v>3.5928317450494642</v>
      </c>
      <c r="AF25">
        <f t="shared" si="27"/>
        <v>0.72409578097251204</v>
      </c>
      <c r="AG25">
        <f t="shared" si="28"/>
        <v>2753.5635007543842</v>
      </c>
      <c r="AH25">
        <f t="shared" si="29"/>
        <v>2.9770910198294782</v>
      </c>
    </row>
    <row r="26" spans="1:34" ht="12" customHeight="1">
      <c r="B26" s="8">
        <f t="shared" si="30"/>
        <v>281.97765334844667</v>
      </c>
      <c r="C26">
        <f t="shared" si="0"/>
        <v>1015.119552054408</v>
      </c>
      <c r="D26">
        <f t="shared" si="1"/>
        <v>18209.514395908696</v>
      </c>
      <c r="E26">
        <f t="shared" si="2"/>
        <v>0.35915290533334615</v>
      </c>
      <c r="F26">
        <f t="shared" si="3"/>
        <v>2.4559923328476962E-2</v>
      </c>
      <c r="G26" s="7">
        <f t="shared" si="4"/>
        <v>24617.850132787986</v>
      </c>
      <c r="H26" s="8">
        <f t="shared" si="5"/>
        <v>14.623535282657512</v>
      </c>
      <c r="I26" s="7">
        <f t="shared" si="6"/>
        <v>24617.850132787982</v>
      </c>
      <c r="J26" s="7">
        <f t="shared" si="7"/>
        <v>68097.916223196837</v>
      </c>
      <c r="K26" s="7">
        <f t="shared" si="8"/>
        <v>91284.070004285299</v>
      </c>
      <c r="L26" s="10">
        <f t="shared" si="9"/>
        <v>0.93002886888701075</v>
      </c>
      <c r="M26">
        <f t="shared" si="10"/>
        <v>31109.011658767777</v>
      </c>
      <c r="N26">
        <f t="shared" si="11"/>
        <v>0.29912511210353632</v>
      </c>
      <c r="O26">
        <f t="shared" si="12"/>
        <v>115353.58216519783</v>
      </c>
      <c r="P26" s="7">
        <f t="shared" si="13"/>
        <v>6491.1615259797909</v>
      </c>
      <c r="Q26" s="8">
        <f t="shared" si="14"/>
        <v>1.0332325349732523</v>
      </c>
      <c r="R26" s="7">
        <f t="shared" si="15"/>
        <v>24069.512160912534</v>
      </c>
      <c r="S26">
        <f t="shared" si="16"/>
        <v>5.0843402627819545</v>
      </c>
      <c r="T26" s="13">
        <f t="shared" si="17"/>
        <v>5.4183413365255007E-2</v>
      </c>
      <c r="U26" s="13">
        <f t="shared" si="18"/>
        <v>54311.209854720146</v>
      </c>
      <c r="V26" s="14">
        <f t="shared" si="19"/>
        <v>150235.71102747388</v>
      </c>
      <c r="W26" s="14">
        <f t="shared" si="20"/>
        <v>201388.35258374515</v>
      </c>
      <c r="X26" s="14">
        <f t="shared" si="21"/>
        <v>-23202.198195952369</v>
      </c>
      <c r="Y26" s="15">
        <f t="shared" si="22"/>
        <v>-3.6955780577445143</v>
      </c>
      <c r="Z26" s="14">
        <f t="shared" si="23"/>
        <v>-86034.770418547312</v>
      </c>
      <c r="AA26" s="13">
        <f t="shared" si="24"/>
        <v>-18.173614999500593</v>
      </c>
      <c r="AC26">
        <f t="shared" si="25"/>
        <v>3003.4356386489649</v>
      </c>
      <c r="AD26">
        <f t="shared" si="26"/>
        <v>3.1781513233233039</v>
      </c>
      <c r="AF26">
        <f t="shared" si="27"/>
        <v>0.73201154755480435</v>
      </c>
      <c r="AG26">
        <f t="shared" si="28"/>
        <v>2461.7936550440299</v>
      </c>
      <c r="AH26">
        <f t="shared" si="29"/>
        <v>2.605000973500649</v>
      </c>
    </row>
    <row r="27" spans="1:34" ht="12" customHeight="1">
      <c r="B27" s="8">
        <f t="shared" si="30"/>
        <v>287.97765334844667</v>
      </c>
      <c r="C27">
        <f t="shared" si="0"/>
        <v>1036.719552054408</v>
      </c>
      <c r="D27">
        <f t="shared" si="1"/>
        <v>18992.693393297068</v>
      </c>
      <c r="E27">
        <f t="shared" si="2"/>
        <v>0.34434294623574063</v>
      </c>
      <c r="F27">
        <f t="shared" si="3"/>
        <v>2.4030070331235453E-2</v>
      </c>
      <c r="G27" s="7">
        <f t="shared" si="4"/>
        <v>25122.702276358865</v>
      </c>
      <c r="H27" s="8">
        <f t="shared" si="5"/>
        <v>14.329668681333278</v>
      </c>
      <c r="I27" s="7">
        <f t="shared" si="6"/>
        <v>25122.702276358876</v>
      </c>
      <c r="J27" s="7">
        <f t="shared" si="7"/>
        <v>70973.16087218473</v>
      </c>
      <c r="K27" s="7">
        <f t="shared" si="8"/>
        <v>95138.285351454062</v>
      </c>
      <c r="L27" s="10">
        <f t="shared" si="9"/>
        <v>0.94981828534274138</v>
      </c>
      <c r="M27">
        <f t="shared" si="10"/>
        <v>31109.011658767777</v>
      </c>
      <c r="N27">
        <f t="shared" si="11"/>
        <v>0.29912511210353632</v>
      </c>
      <c r="O27">
        <f t="shared" si="12"/>
        <v>117808.10820572743</v>
      </c>
      <c r="P27" s="7">
        <f t="shared" si="13"/>
        <v>5986.3093824089119</v>
      </c>
      <c r="Q27" s="8">
        <f t="shared" si="14"/>
        <v>0.9528648264998073</v>
      </c>
      <c r="R27" s="7">
        <f t="shared" si="15"/>
        <v>22669.82285427337</v>
      </c>
      <c r="S27">
        <f t="shared" si="16"/>
        <v>4.7886759115664104</v>
      </c>
      <c r="T27" s="13">
        <f t="shared" si="17"/>
        <v>5.7945022766171285E-2</v>
      </c>
      <c r="U27" s="13">
        <f t="shared" si="18"/>
        <v>60579.745930211531</v>
      </c>
      <c r="V27" s="14">
        <f t="shared" si="19"/>
        <v>171141.4642503231</v>
      </c>
      <c r="W27" s="14">
        <f t="shared" si="20"/>
        <v>229412.150469602</v>
      </c>
      <c r="X27" s="14">
        <f t="shared" si="21"/>
        <v>-29470.734271443755</v>
      </c>
      <c r="Y27" s="15">
        <f t="shared" si="22"/>
        <v>-4.6960136469377405</v>
      </c>
      <c r="Z27" s="14">
        <f t="shared" si="23"/>
        <v>-111604.04226387457</v>
      </c>
      <c r="AA27" s="13">
        <f t="shared" si="24"/>
        <v>-23.574758049850047</v>
      </c>
      <c r="AC27">
        <f t="shared" si="25"/>
        <v>2749.947838065018</v>
      </c>
      <c r="AD27">
        <f t="shared" si="26"/>
        <v>2.8492896564788506</v>
      </c>
      <c r="AF27">
        <f t="shared" si="27"/>
        <v>0.73992731413709656</v>
      </c>
      <c r="AG27">
        <f t="shared" si="28"/>
        <v>2229.9064669118275</v>
      </c>
      <c r="AH27">
        <f t="shared" si="29"/>
        <v>2.3104617997255792</v>
      </c>
    </row>
    <row r="28" spans="1:34" ht="12" customHeight="1">
      <c r="B28" s="8">
        <f t="shared" si="30"/>
        <v>293.97765334844667</v>
      </c>
      <c r="C28">
        <f t="shared" si="0"/>
        <v>1058.3195520544079</v>
      </c>
      <c r="D28">
        <f t="shared" si="1"/>
        <v>19792.361662490144</v>
      </c>
      <c r="E28">
        <f t="shared" si="2"/>
        <v>0.33043050200494262</v>
      </c>
      <c r="F28">
        <f t="shared" si="3"/>
        <v>2.3552649442312987E-2</v>
      </c>
      <c r="G28" s="7">
        <f t="shared" si="4"/>
        <v>25660.324176446167</v>
      </c>
      <c r="H28" s="8">
        <f t="shared" si="5"/>
        <v>14.029440841220822</v>
      </c>
      <c r="I28" s="7">
        <f t="shared" si="6"/>
        <v>25660.324176446175</v>
      </c>
      <c r="J28" s="7">
        <f t="shared" si="7"/>
        <v>74002.342097265675</v>
      </c>
      <c r="K28" s="7">
        <f t="shared" si="8"/>
        <v>99198.849996334684</v>
      </c>
      <c r="L28" s="10">
        <f t="shared" si="9"/>
        <v>0.969607701798472</v>
      </c>
      <c r="M28">
        <f t="shared" si="10"/>
        <v>31109.011658767777</v>
      </c>
      <c r="N28">
        <f t="shared" si="11"/>
        <v>0.29912511210353632</v>
      </c>
      <c r="O28">
        <f t="shared" si="12"/>
        <v>120262.63424625702</v>
      </c>
      <c r="P28" s="7">
        <f t="shared" si="13"/>
        <v>5448.6874823216094</v>
      </c>
      <c r="Q28" s="8">
        <f t="shared" si="14"/>
        <v>0.86728253862746718</v>
      </c>
      <c r="R28" s="7">
        <f t="shared" si="15"/>
        <v>21063.784249922333</v>
      </c>
      <c r="S28">
        <f t="shared" si="16"/>
        <v>4.4494232218943424</v>
      </c>
      <c r="T28" s="13">
        <f t="shared" si="17"/>
        <v>6.1357531614756634E-2</v>
      </c>
      <c r="U28" s="13">
        <f t="shared" si="18"/>
        <v>66848.282005702917</v>
      </c>
      <c r="V28" s="14">
        <f t="shared" si="19"/>
        <v>192785.14953997912</v>
      </c>
      <c r="W28" s="14">
        <f t="shared" si="20"/>
        <v>258425.13343160739</v>
      </c>
      <c r="X28" s="14">
        <f t="shared" si="21"/>
        <v>-35739.27034693514</v>
      </c>
      <c r="Y28" s="15">
        <f t="shared" si="22"/>
        <v>-5.6978862179462935</v>
      </c>
      <c r="Z28" s="14">
        <f t="shared" si="23"/>
        <v>-138162.49918535037</v>
      </c>
      <c r="AA28" s="13">
        <f t="shared" si="24"/>
        <v>-29.184852302715875</v>
      </c>
      <c r="AC28">
        <f t="shared" si="25"/>
        <v>2544.0004491410714</v>
      </c>
      <c r="AD28">
        <f t="shared" si="26"/>
        <v>2.5821044055603846</v>
      </c>
      <c r="AF28">
        <f t="shared" si="27"/>
        <v>0.74784308071938888</v>
      </c>
      <c r="AG28">
        <f t="shared" si="28"/>
        <v>2041.0702577020825</v>
      </c>
      <c r="AH28">
        <f t="shared" si="29"/>
        <v>2.0716413419856945</v>
      </c>
    </row>
    <row r="29" spans="1:34" ht="12" customHeight="1">
      <c r="B29" s="8">
        <f t="shared" si="30"/>
        <v>299.97765334844667</v>
      </c>
      <c r="C29">
        <f t="shared" si="0"/>
        <v>1079.9195520544081</v>
      </c>
      <c r="D29">
        <f t="shared" si="1"/>
        <v>20608.519203487933</v>
      </c>
      <c r="E29">
        <f t="shared" si="2"/>
        <v>0.31734448920974018</v>
      </c>
      <c r="F29">
        <f t="shared" si="3"/>
        <v>2.3121555904037763E-2</v>
      </c>
      <c r="G29" s="7">
        <f t="shared" si="4"/>
        <v>26229.414432819191</v>
      </c>
      <c r="H29" s="8">
        <f t="shared" si="5"/>
        <v>13.725049063602233</v>
      </c>
      <c r="I29" s="7">
        <f t="shared" si="6"/>
        <v>26229.414432819194</v>
      </c>
      <c r="J29" s="7">
        <f t="shared" si="7"/>
        <v>77187.416646460202</v>
      </c>
      <c r="K29" s="7">
        <f t="shared" si="8"/>
        <v>103468.38692554987</v>
      </c>
      <c r="L29" s="10">
        <f t="shared" si="9"/>
        <v>0.98939711825420262</v>
      </c>
      <c r="M29">
        <f t="shared" si="10"/>
        <v>31109.011658767777</v>
      </c>
      <c r="N29">
        <f t="shared" si="11"/>
        <v>0.29912511210353632</v>
      </c>
      <c r="O29">
        <f t="shared" si="12"/>
        <v>122717.16028678659</v>
      </c>
      <c r="P29" s="7">
        <f t="shared" si="13"/>
        <v>4879.5972259485861</v>
      </c>
      <c r="Q29" s="8">
        <f t="shared" si="14"/>
        <v>0.77669300906487848</v>
      </c>
      <c r="R29" s="7">
        <f t="shared" si="15"/>
        <v>19248.773361236716</v>
      </c>
      <c r="S29">
        <f t="shared" si="16"/>
        <v>4.0660281253490176</v>
      </c>
      <c r="T29" s="13">
        <f t="shared" si="17"/>
        <v>6.4453386907272509E-2</v>
      </c>
      <c r="U29" s="13">
        <f t="shared" si="18"/>
        <v>73116.818081194302</v>
      </c>
      <c r="V29" s="14">
        <f t="shared" si="19"/>
        <v>215166.76689644204</v>
      </c>
      <c r="W29" s="14">
        <f t="shared" si="20"/>
        <v>288427.30146976147</v>
      </c>
      <c r="X29" s="14">
        <f t="shared" si="21"/>
        <v>-42007.806422426525</v>
      </c>
      <c r="Y29" s="15">
        <f t="shared" si="22"/>
        <v>-6.7015097590022066</v>
      </c>
      <c r="Z29" s="14">
        <f t="shared" si="23"/>
        <v>-165710.14118297488</v>
      </c>
      <c r="AA29" s="13">
        <f t="shared" si="24"/>
        <v>-35.003897758098105</v>
      </c>
      <c r="AC29">
        <f t="shared" si="25"/>
        <v>2373.3661023051814</v>
      </c>
      <c r="AD29">
        <f t="shared" si="26"/>
        <v>2.3607324279263699</v>
      </c>
      <c r="AF29">
        <f t="shared" si="27"/>
        <v>0.75575884730168108</v>
      </c>
      <c r="AG29">
        <f t="shared" si="28"/>
        <v>1884.224930303295</v>
      </c>
      <c r="AH29">
        <f t="shared" si="29"/>
        <v>1.874195005209661</v>
      </c>
    </row>
    <row r="30" spans="1:34" ht="12" customHeight="1" thickBot="1">
      <c r="B30" s="8">
        <f t="shared" si="30"/>
        <v>305.97765334844667</v>
      </c>
      <c r="C30">
        <f t="shared" si="0"/>
        <v>1101.519552054408</v>
      </c>
      <c r="D30">
        <f t="shared" si="1"/>
        <v>21441.166016290426</v>
      </c>
      <c r="E30">
        <f t="shared" si="2"/>
        <v>0.30502072485382004</v>
      </c>
      <c r="F30">
        <f t="shared" si="3"/>
        <v>2.2731498351312301E-2</v>
      </c>
      <c r="G30" s="7">
        <f t="shared" si="4"/>
        <v>26828.797978872612</v>
      </c>
      <c r="H30" s="8">
        <f t="shared" si="5"/>
        <v>13.418417041400662</v>
      </c>
      <c r="I30" s="7">
        <f t="shared" si="6"/>
        <v>26828.797978872619</v>
      </c>
      <c r="J30" s="7">
        <f t="shared" si="7"/>
        <v>80530.414074280256</v>
      </c>
      <c r="K30" s="7">
        <f t="shared" si="8"/>
        <v>107949.6167215553</v>
      </c>
      <c r="L30" s="10">
        <f t="shared" si="9"/>
        <v>1.0091865347099334</v>
      </c>
      <c r="M30">
        <f t="shared" si="10"/>
        <v>31109.011658767777</v>
      </c>
      <c r="N30">
        <f t="shared" si="11"/>
        <v>0.29912511210353632</v>
      </c>
      <c r="O30">
        <f t="shared" si="12"/>
        <v>125171.68632731619</v>
      </c>
      <c r="P30" s="7">
        <f t="shared" si="13"/>
        <v>4280.2136798951651</v>
      </c>
      <c r="Q30" s="8">
        <f t="shared" si="14"/>
        <v>0.68128339570617613</v>
      </c>
      <c r="R30" s="7">
        <f>$O30-$K30</f>
        <v>17222.069605760887</v>
      </c>
      <c r="S30">
        <f t="shared" si="16"/>
        <v>3.6379159377895633</v>
      </c>
      <c r="T30" s="13">
        <f t="shared" si="17"/>
        <v>6.7261606299026375E-2</v>
      </c>
      <c r="U30" s="13">
        <f t="shared" si="18"/>
        <v>79385.354156685717</v>
      </c>
      <c r="V30" s="14">
        <f t="shared" si="19"/>
        <v>238286.31631971188</v>
      </c>
      <c r="W30" s="14">
        <f t="shared" si="20"/>
        <v>319418.65458406421</v>
      </c>
      <c r="X30" s="14">
        <f t="shared" si="21"/>
        <v>-48276.34249791794</v>
      </c>
      <c r="Y30" s="15">
        <f t="shared" si="22"/>
        <v>-7.7072031692835354</v>
      </c>
      <c r="Z30" s="14">
        <f t="shared" si="23"/>
        <v>-194246.96825674802</v>
      </c>
      <c r="AA30" s="13">
        <f t="shared" si="24"/>
        <v>-41.031894415996724</v>
      </c>
      <c r="AC30">
        <f t="shared" si="25"/>
        <v>2229.6794858213534</v>
      </c>
      <c r="AD30">
        <f t="shared" si="26"/>
        <v>2.1743210105277537</v>
      </c>
      <c r="AF30">
        <f t="shared" si="27"/>
        <v>0.7636746138839734</v>
      </c>
      <c r="AG30">
        <f t="shared" si="28"/>
        <v>1751.8032774310182</v>
      </c>
      <c r="AH30">
        <f t="shared" si="29"/>
        <v>1.7083095111432649</v>
      </c>
    </row>
    <row r="31" spans="1:34" s="6" customFormat="1" ht="13.5" thickBot="1">
      <c r="A31" s="5"/>
      <c r="B31" s="6" t="s">
        <v>31</v>
      </c>
      <c r="D31" s="6" t="s">
        <v>32</v>
      </c>
      <c r="G31" s="6" t="s">
        <v>33</v>
      </c>
      <c r="J31" s="6" t="s">
        <v>34</v>
      </c>
      <c r="O31" s="6" t="s">
        <v>35</v>
      </c>
    </row>
    <row r="32" spans="1:34" s="1" customFormat="1" ht="23.85" customHeight="1">
      <c r="A32" s="1" t="s">
        <v>3</v>
      </c>
      <c r="B32" s="1" t="s">
        <v>4</v>
      </c>
      <c r="D32" s="1" t="s">
        <v>8</v>
      </c>
      <c r="E32" s="1" t="s">
        <v>96</v>
      </c>
      <c r="G32" s="1" t="s">
        <v>71</v>
      </c>
      <c r="J32" s="1" t="s">
        <v>13</v>
      </c>
      <c r="K32" s="1" t="s">
        <v>14</v>
      </c>
      <c r="L32" s="1" t="s">
        <v>15</v>
      </c>
      <c r="M32" s="11" t="str">
        <f>SL!M32</f>
        <v>MDD</v>
      </c>
      <c r="N32" s="11"/>
      <c r="O32" s="1" t="s">
        <v>58</v>
      </c>
      <c r="P32" s="1" t="s">
        <v>16</v>
      </c>
      <c r="Q32" s="1" t="s">
        <v>70</v>
      </c>
      <c r="R32" s="1" t="s">
        <v>60</v>
      </c>
      <c r="S32" s="1" t="s">
        <v>94</v>
      </c>
    </row>
    <row r="33" spans="1:20">
      <c r="A33">
        <f>SL!A33</f>
        <v>540</v>
      </c>
      <c r="B33">
        <f>SL!B33</f>
        <v>65</v>
      </c>
      <c r="D33">
        <f>SL!D33</f>
        <v>360000</v>
      </c>
      <c r="E33">
        <f>SL!$E$33</f>
        <v>90000</v>
      </c>
      <c r="G33">
        <v>30000</v>
      </c>
      <c r="J33">
        <f>SL!J33</f>
        <v>1.7999999999999999E-2</v>
      </c>
      <c r="K33">
        <f>SL!K33</f>
        <v>0.8</v>
      </c>
      <c r="L33">
        <f>SL!L33</f>
        <v>1.5</v>
      </c>
      <c r="M33">
        <f>SL!M33</f>
        <v>0.83</v>
      </c>
      <c r="O33">
        <f>SL!O33</f>
        <v>26000</v>
      </c>
      <c r="P33">
        <f>SL!P33</f>
        <v>4</v>
      </c>
      <c r="Q33">
        <f>SL!Q33</f>
        <v>1</v>
      </c>
      <c r="R33">
        <f>SL!R33</f>
        <v>0.8</v>
      </c>
      <c r="S33">
        <f>SL!$S$33</f>
        <v>0.6</v>
      </c>
    </row>
    <row r="34" spans="1:20" s="3" customFormat="1" ht="20.85" customHeight="1">
      <c r="A34" s="3" t="s">
        <v>5</v>
      </c>
      <c r="D34" s="3" t="s">
        <v>9</v>
      </c>
      <c r="E34" s="3" t="s">
        <v>10</v>
      </c>
      <c r="F34" s="3" t="s">
        <v>72</v>
      </c>
      <c r="G34" s="3" t="s">
        <v>6</v>
      </c>
      <c r="H34" s="3" t="s">
        <v>7</v>
      </c>
      <c r="J34" s="3" t="s">
        <v>30</v>
      </c>
      <c r="O34" s="3" t="s">
        <v>59</v>
      </c>
      <c r="Q34" s="3" t="s">
        <v>61</v>
      </c>
      <c r="R34" s="3" t="s">
        <v>62</v>
      </c>
      <c r="T34" s="3" t="s">
        <v>103</v>
      </c>
    </row>
    <row r="35" spans="1:20">
      <c r="A35">
        <f>B33^2/A33</f>
        <v>7.8240740740740744</v>
      </c>
      <c r="D35">
        <f>D33/A33</f>
        <v>666.66666666666663</v>
      </c>
      <c r="E35">
        <f>D35*9.81</f>
        <v>6540</v>
      </c>
      <c r="F35">
        <f>$G$33*0.3048</f>
        <v>9144</v>
      </c>
      <c r="G35">
        <f>288-6.5*$F$35/1000</f>
        <v>228.56399999999999</v>
      </c>
      <c r="H35">
        <f>G35/288</f>
        <v>0.79362500000000002</v>
      </c>
      <c r="J35">
        <f>1/(3.1415*$A$35*$K$33)</f>
        <v>5.0855742037073826E-2</v>
      </c>
      <c r="O35">
        <f>$O$33*$P$33</f>
        <v>104000</v>
      </c>
      <c r="Q35">
        <f>$O$35*$Q$33</f>
        <v>104000</v>
      </c>
      <c r="R35">
        <f>$Q$35*$R$33</f>
        <v>83200</v>
      </c>
      <c r="T35">
        <f>R35*G37</f>
        <v>31109.011658767777</v>
      </c>
    </row>
    <row r="36" spans="1:20" s="3" customFormat="1" ht="20.85" customHeight="1">
      <c r="G36" s="3" t="s">
        <v>11</v>
      </c>
      <c r="H36" s="3" t="s">
        <v>12</v>
      </c>
      <c r="J36" s="3" t="s">
        <v>63</v>
      </c>
      <c r="M36" s="3" t="s">
        <v>86</v>
      </c>
    </row>
    <row r="37" spans="1:20">
      <c r="G37">
        <f>$H$35^4.256</f>
        <v>0.3739063901294204</v>
      </c>
      <c r="H37">
        <f>1.225*$G$37</f>
        <v>0.45803532790854001</v>
      </c>
      <c r="J37">
        <f>340.3*(1-2.255*0.00001*$F$35)^0.5</f>
        <v>303.19236615299536</v>
      </c>
      <c r="M37">
        <f>P57</f>
        <v>22625.860536233897</v>
      </c>
    </row>
    <row r="38" spans="1:20" s="4" customFormat="1" ht="20.100000000000001" customHeight="1"/>
    <row r="39" spans="1:20">
      <c r="A39" t="s">
        <v>21</v>
      </c>
      <c r="B39">
        <f>SQRT(3.1415*$A$35*$K$33/(4*$J$33))</f>
        <v>16.525848004364995</v>
      </c>
      <c r="C39" t="s">
        <v>18</v>
      </c>
      <c r="D39">
        <f>$L$33</f>
        <v>1.5</v>
      </c>
      <c r="E39" t="s">
        <v>22</v>
      </c>
      <c r="F39">
        <f>3.6*SQRT((2/$H$37)*($E$35)*(1/$D39))</f>
        <v>496.7195520544081</v>
      </c>
      <c r="H39" t="s">
        <v>36</v>
      </c>
      <c r="I39">
        <f>$J$33+$J$35*$D39^2</f>
        <v>0.13242541958341611</v>
      </c>
      <c r="K39" t="s">
        <v>26</v>
      </c>
      <c r="L39">
        <f>$D39/$I39</f>
        <v>11.327130430990517</v>
      </c>
      <c r="M39" t="s">
        <v>40</v>
      </c>
      <c r="O39">
        <f>$D$33/$L39</f>
        <v>31782.100700019862</v>
      </c>
      <c r="Q39" t="s">
        <v>46</v>
      </c>
      <c r="R39">
        <f>($O39*$F39*9.81/3.6)/746</f>
        <v>57666.226531962238</v>
      </c>
    </row>
    <row r="40" spans="1:20">
      <c r="C40" t="s">
        <v>17</v>
      </c>
      <c r="D40">
        <f>$D$41*SQRT(3)</f>
        <v>1.0304499017419528</v>
      </c>
      <c r="E40" t="s">
        <v>23</v>
      </c>
      <c r="F40">
        <f>3.6*SQRT((2/$H$37)*($E$35)*(1/$D40))</f>
        <v>599.29884904467542</v>
      </c>
      <c r="H40" t="s">
        <v>37</v>
      </c>
      <c r="I40">
        <f>$J$33+$J$35*$D40^2</f>
        <v>7.2000000000000008E-2</v>
      </c>
      <c r="K40" t="s">
        <v>27</v>
      </c>
      <c r="L40">
        <f>$D40/$I40</f>
        <v>14.311804190860455</v>
      </c>
      <c r="M40" t="s">
        <v>41</v>
      </c>
      <c r="O40">
        <f>$D$33/$L40</f>
        <v>25154.061304856077</v>
      </c>
      <c r="Q40" t="s">
        <v>47</v>
      </c>
      <c r="R40">
        <f>($O40*$F40*9.81/3.6)/746</f>
        <v>55065.45572316154</v>
      </c>
    </row>
    <row r="41" spans="1:20">
      <c r="C41" t="s">
        <v>20</v>
      </c>
      <c r="D41">
        <f>SQRT(3.1415*$A$35*$K$33*$J$33)</f>
        <v>0.59493052815713987</v>
      </c>
      <c r="E41" t="s">
        <v>24</v>
      </c>
      <c r="F41">
        <f>3.6*SQRT((2/$H$37)*($E$35)*(1/$D41))</f>
        <v>788.72164122003596</v>
      </c>
      <c r="H41" t="s">
        <v>39</v>
      </c>
      <c r="I41">
        <f>$J$33+$J$35*$D41^2</f>
        <v>3.6000000000000004E-2</v>
      </c>
      <c r="K41" t="s">
        <v>28</v>
      </c>
      <c r="L41">
        <f>$D41/$I41</f>
        <v>16.525848004364995</v>
      </c>
      <c r="M41" t="s">
        <v>42</v>
      </c>
      <c r="O41">
        <f>$D$33/$L41</f>
        <v>21784.056098356508</v>
      </c>
      <c r="Q41" t="s">
        <v>44</v>
      </c>
      <c r="R41">
        <f>($O41*$F41*9.81/3.6)/746</f>
        <v>62761.047457688808</v>
      </c>
    </row>
    <row r="42" spans="1:20">
      <c r="C42" t="s">
        <v>19</v>
      </c>
      <c r="D42">
        <f>$D$41/SQRT(3)</f>
        <v>0.34348330058065096</v>
      </c>
      <c r="E42" t="s">
        <v>25</v>
      </c>
      <c r="F42">
        <f>3.6*SQRT((2/$H$37)*($E$35)*(1/$D42))</f>
        <v>1038.0160554629288</v>
      </c>
      <c r="H42" t="s">
        <v>38</v>
      </c>
      <c r="I42">
        <f>$J$33+$J$35*$D42^2</f>
        <v>2.4E-2</v>
      </c>
      <c r="K42" t="s">
        <v>29</v>
      </c>
      <c r="L42">
        <f>$D42/$I42</f>
        <v>14.311804190860457</v>
      </c>
      <c r="M42" t="s">
        <v>43</v>
      </c>
      <c r="O42">
        <f>$D$33/$L42</f>
        <v>25154.061304856074</v>
      </c>
      <c r="Q42" t="s">
        <v>45</v>
      </c>
      <c r="R42">
        <f>($O42*$F42*9.81/3.6)/746</f>
        <v>95376.167054450183</v>
      </c>
    </row>
    <row r="44" spans="1:20">
      <c r="A44" t="s">
        <v>54</v>
      </c>
      <c r="B44" t="s">
        <v>49</v>
      </c>
      <c r="C44" t="s">
        <v>50</v>
      </c>
      <c r="E44" t="s">
        <v>50</v>
      </c>
    </row>
    <row r="45" spans="1:20">
      <c r="A45">
        <v>0.1</v>
      </c>
      <c r="B45">
        <v>0</v>
      </c>
      <c r="C45">
        <f>$J$33+$J$35*$B45^2</f>
        <v>1.7999999999999999E-2</v>
      </c>
      <c r="E45">
        <f>$J$33+$J$35*$B45^2</f>
        <v>1.7999999999999999E-2</v>
      </c>
    </row>
    <row r="46" spans="1:20">
      <c r="B46">
        <f>B45+$A$45</f>
        <v>0.1</v>
      </c>
      <c r="C46">
        <f t="shared" ref="C46:E63" si="31">$J$33+$J$35*$B46^2</f>
        <v>1.8508557420370737E-2</v>
      </c>
      <c r="E46">
        <f t="shared" si="31"/>
        <v>1.8508557420370737E-2</v>
      </c>
      <c r="H46" s="9"/>
    </row>
    <row r="47" spans="1:20">
      <c r="B47">
        <f t="shared" ref="B47:B63" si="32">B46+$A$45</f>
        <v>0.2</v>
      </c>
      <c r="C47">
        <f t="shared" si="31"/>
        <v>2.0034229681482951E-2</v>
      </c>
      <c r="E47">
        <f t="shared" si="31"/>
        <v>2.0034229681482951E-2</v>
      </c>
      <c r="H47" s="9"/>
      <c r="J47" t="s">
        <v>74</v>
      </c>
      <c r="K47">
        <f>$R$35/$D$33</f>
        <v>0.2311111111111111</v>
      </c>
    </row>
    <row r="48" spans="1:20">
      <c r="B48">
        <f t="shared" si="32"/>
        <v>0.30000000000000004</v>
      </c>
      <c r="C48">
        <f t="shared" si="31"/>
        <v>2.2577016783336644E-2</v>
      </c>
      <c r="E48">
        <f t="shared" si="31"/>
        <v>2.2577016783336644E-2</v>
      </c>
      <c r="H48" s="9"/>
      <c r="J48" t="s">
        <v>75</v>
      </c>
      <c r="K48">
        <f>(1+SQRT(1-1/(($K$47^2)*($B$39^2))))</f>
        <v>1.9651146612052111</v>
      </c>
    </row>
    <row r="49" spans="2:17">
      <c r="B49">
        <f t="shared" si="32"/>
        <v>0.4</v>
      </c>
      <c r="C49">
        <f t="shared" si="31"/>
        <v>2.613691872593181E-2</v>
      </c>
      <c r="E49">
        <f t="shared" si="31"/>
        <v>2.613691872593181E-2</v>
      </c>
      <c r="H49" s="9"/>
      <c r="J49" t="s">
        <v>76</v>
      </c>
      <c r="K49">
        <f>SQRT(($K$47*$E$35)*$K$48/($H$37*$J$33))</f>
        <v>600.21589769297293</v>
      </c>
      <c r="L49" t="s">
        <v>77</v>
      </c>
      <c r="O49" t="s">
        <v>78</v>
      </c>
      <c r="P49">
        <f>$K$49*3.6</f>
        <v>2160.7772316947026</v>
      </c>
    </row>
    <row r="50" spans="2:17">
      <c r="B50">
        <f t="shared" si="32"/>
        <v>0.5</v>
      </c>
      <c r="C50">
        <f t="shared" si="31"/>
        <v>3.0713935509268455E-2</v>
      </c>
      <c r="E50">
        <f t="shared" si="31"/>
        <v>3.0713935509268455E-2</v>
      </c>
      <c r="H50" s="9"/>
    </row>
    <row r="51" spans="2:17">
      <c r="B51">
        <f t="shared" si="32"/>
        <v>0.6</v>
      </c>
      <c r="C51">
        <f t="shared" si="31"/>
        <v>3.6308067133346576E-2</v>
      </c>
      <c r="E51">
        <f t="shared" si="31"/>
        <v>3.6308067133346576E-2</v>
      </c>
      <c r="O51" t="s">
        <v>79</v>
      </c>
      <c r="P51">
        <f>$K$49/$J$37</f>
        <v>1.9796537271327441</v>
      </c>
    </row>
    <row r="52" spans="2:17">
      <c r="B52">
        <f t="shared" si="32"/>
        <v>0.7</v>
      </c>
      <c r="C52">
        <f t="shared" si="31"/>
        <v>4.291931359816617E-2</v>
      </c>
      <c r="E52">
        <f t="shared" si="31"/>
        <v>4.291931359816617E-2</v>
      </c>
    </row>
    <row r="53" spans="2:17">
      <c r="B53">
        <f t="shared" si="32"/>
        <v>0.79999999999999993</v>
      </c>
      <c r="C53">
        <f t="shared" si="31"/>
        <v>5.0547674903727247E-2</v>
      </c>
      <c r="E53">
        <f t="shared" si="31"/>
        <v>5.0547674903727247E-2</v>
      </c>
      <c r="J53" t="s">
        <v>80</v>
      </c>
      <c r="K53">
        <f>$M$33*$J$37</f>
        <v>251.64966390698615</v>
      </c>
      <c r="L53" t="s">
        <v>77</v>
      </c>
      <c r="O53" t="s">
        <v>80</v>
      </c>
      <c r="P53">
        <f>$K$53*3.6</f>
        <v>905.9387900651501</v>
      </c>
      <c r="Q53" t="s">
        <v>81</v>
      </c>
    </row>
    <row r="54" spans="2:17">
      <c r="B54">
        <f t="shared" si="32"/>
        <v>0.89999999999999991</v>
      </c>
      <c r="C54">
        <f t="shared" si="31"/>
        <v>5.9193151050029785E-2</v>
      </c>
      <c r="E54">
        <f t="shared" si="31"/>
        <v>5.9193151050029785E-2</v>
      </c>
      <c r="J54" t="s">
        <v>82</v>
      </c>
      <c r="K54">
        <f>0.5*$H$37*($K$53)^2</f>
        <v>14503.128330896599</v>
      </c>
      <c r="L54" t="s">
        <v>83</v>
      </c>
    </row>
    <row r="55" spans="2:17">
      <c r="B55">
        <f t="shared" si="32"/>
        <v>0.99999999999999989</v>
      </c>
      <c r="C55">
        <f t="shared" si="31"/>
        <v>6.8855742037073814E-2</v>
      </c>
      <c r="E55">
        <f t="shared" si="31"/>
        <v>6.8855742037073814E-2</v>
      </c>
      <c r="J55" t="s">
        <v>84</v>
      </c>
      <c r="K55">
        <f>(D33*9.81)/(K54*A33)</f>
        <v>0.45093719443049912</v>
      </c>
    </row>
    <row r="56" spans="2:17">
      <c r="B56">
        <f t="shared" si="32"/>
        <v>1.0999999999999999</v>
      </c>
      <c r="C56">
        <f t="shared" si="31"/>
        <v>7.9535447864859318E-2</v>
      </c>
      <c r="E56">
        <f t="shared" si="31"/>
        <v>7.9535447864859318E-2</v>
      </c>
      <c r="J56" t="s">
        <v>85</v>
      </c>
      <c r="K56">
        <f>J33+J35*(K55)^2</f>
        <v>2.8341227977180729E-2</v>
      </c>
    </row>
    <row r="57" spans="2:17">
      <c r="B57">
        <f t="shared" si="32"/>
        <v>1.2</v>
      </c>
      <c r="C57">
        <f t="shared" si="31"/>
        <v>9.1232268533386313E-2</v>
      </c>
      <c r="E57">
        <f t="shared" si="31"/>
        <v>9.1232268533386313E-2</v>
      </c>
      <c r="J57" t="s">
        <v>86</v>
      </c>
      <c r="K57">
        <f>K54*A33*K56</f>
        <v>221959.69186045454</v>
      </c>
      <c r="L57" t="s">
        <v>87</v>
      </c>
      <c r="O57" t="s">
        <v>86</v>
      </c>
      <c r="P57">
        <f>K57/9.81</f>
        <v>22625.860536233897</v>
      </c>
      <c r="Q57" t="s">
        <v>88</v>
      </c>
    </row>
    <row r="58" spans="2:17">
      <c r="B58">
        <f t="shared" si="32"/>
        <v>1.3</v>
      </c>
      <c r="C58">
        <f t="shared" si="31"/>
        <v>0.10394620404265477</v>
      </c>
      <c r="E58">
        <f t="shared" si="31"/>
        <v>0.10394620404265477</v>
      </c>
    </row>
    <row r="59" spans="2:17">
      <c r="B59">
        <f>B58+$A$45</f>
        <v>1.4000000000000001</v>
      </c>
      <c r="C59">
        <f t="shared" si="31"/>
        <v>0.11767725439266472</v>
      </c>
      <c r="E59">
        <f t="shared" si="31"/>
        <v>0.11767725439266472</v>
      </c>
      <c r="J59" t="s">
        <v>89</v>
      </c>
      <c r="K59">
        <f>($R$35-$P$57)/(14*$P$57)</f>
        <v>0.19122915747150862</v>
      </c>
    </row>
    <row r="60" spans="2:17">
      <c r="B60">
        <f t="shared" si="32"/>
        <v>1.5000000000000002</v>
      </c>
      <c r="C60">
        <f t="shared" si="31"/>
        <v>0.13242541958341614</v>
      </c>
      <c r="E60">
        <f t="shared" si="31"/>
        <v>0.13242541958341614</v>
      </c>
      <c r="J60" t="s">
        <v>90</v>
      </c>
      <c r="K60">
        <f>M33+K59</f>
        <v>1.0212291574715087</v>
      </c>
    </row>
    <row r="61" spans="2:17">
      <c r="B61">
        <f t="shared" si="32"/>
        <v>1.6000000000000003</v>
      </c>
      <c r="C61">
        <f t="shared" si="31"/>
        <v>0.14819069961490902</v>
      </c>
      <c r="E61">
        <f t="shared" si="31"/>
        <v>0.14819069961490902</v>
      </c>
    </row>
    <row r="62" spans="2:17">
      <c r="B62">
        <f t="shared" si="32"/>
        <v>1.7000000000000004</v>
      </c>
      <c r="C62">
        <f t="shared" si="31"/>
        <v>0.16497309448714342</v>
      </c>
      <c r="E62">
        <f t="shared" si="31"/>
        <v>0.16497309448714342</v>
      </c>
    </row>
    <row r="63" spans="2:17">
      <c r="B63">
        <f t="shared" si="32"/>
        <v>1.8000000000000005</v>
      </c>
      <c r="C63">
        <f t="shared" si="31"/>
        <v>0.18277260420011926</v>
      </c>
      <c r="E63">
        <f t="shared" si="31"/>
        <v>0.18277260420011926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H63"/>
  <sheetViews>
    <sheetView topLeftCell="L34" zoomScale="75" workbookViewId="0">
      <selection activeCell="T35" sqref="T35"/>
    </sheetView>
  </sheetViews>
  <sheetFormatPr defaultRowHeight="12.75"/>
  <cols>
    <col min="1" max="1" width="6.7109375" customWidth="1"/>
    <col min="2" max="2" width="7.5703125" customWidth="1"/>
    <col min="3" max="3" width="8.7109375" customWidth="1"/>
    <col min="4" max="4" width="9.85546875" customWidth="1"/>
    <col min="6" max="6" width="7.5703125" customWidth="1"/>
    <col min="7" max="7" width="7.85546875" customWidth="1"/>
    <col min="8" max="8" width="6.28515625" customWidth="1"/>
    <col min="9" max="9" width="8.85546875" customWidth="1"/>
    <col min="10" max="10" width="8.140625" customWidth="1"/>
    <col min="11" max="11" width="9.28515625" customWidth="1"/>
    <col min="12" max="12" width="6.28515625" customWidth="1"/>
    <col min="13" max="14" width="6.85546875" customWidth="1"/>
    <col min="15" max="15" width="7.5703125" customWidth="1"/>
    <col min="16" max="16" width="9.42578125" customWidth="1"/>
    <col min="17" max="17" width="7" customWidth="1"/>
    <col min="18" max="18" width="8.85546875" customWidth="1"/>
  </cols>
  <sheetData>
    <row r="1" spans="1:34" s="2" customFormat="1" ht="25.5" customHeight="1">
      <c r="A1" s="2" t="s">
        <v>2</v>
      </c>
      <c r="B1" s="2" t="s">
        <v>0</v>
      </c>
      <c r="C1" s="2" t="s">
        <v>1</v>
      </c>
      <c r="D1" s="2" t="s">
        <v>48</v>
      </c>
      <c r="E1" s="2" t="s">
        <v>49</v>
      </c>
      <c r="F1" s="2" t="s">
        <v>50</v>
      </c>
      <c r="G1" s="2" t="s">
        <v>51</v>
      </c>
      <c r="H1" s="2" t="s">
        <v>52</v>
      </c>
      <c r="I1" s="2" t="s">
        <v>53</v>
      </c>
      <c r="J1" s="2" t="s">
        <v>55</v>
      </c>
      <c r="K1" s="2" t="s">
        <v>56</v>
      </c>
      <c r="L1" s="2" t="s">
        <v>64</v>
      </c>
      <c r="M1" s="2" t="s">
        <v>65</v>
      </c>
      <c r="N1" s="2" t="s">
        <v>98</v>
      </c>
      <c r="O1" s="2" t="s">
        <v>66</v>
      </c>
      <c r="P1" s="2" t="s">
        <v>67</v>
      </c>
      <c r="Q1" s="2" t="s">
        <v>68</v>
      </c>
      <c r="R1" s="2" t="s">
        <v>69</v>
      </c>
      <c r="S1" s="2" t="s">
        <v>57</v>
      </c>
      <c r="T1" s="12" t="s">
        <v>85</v>
      </c>
      <c r="U1" s="12" t="s">
        <v>91</v>
      </c>
      <c r="V1" s="12" t="s">
        <v>93</v>
      </c>
      <c r="W1" s="12" t="s">
        <v>56</v>
      </c>
      <c r="X1" s="12" t="s">
        <v>67</v>
      </c>
      <c r="Y1" s="12" t="s">
        <v>68</v>
      </c>
      <c r="Z1" s="12" t="s">
        <v>69</v>
      </c>
      <c r="AA1" s="12" t="s">
        <v>57</v>
      </c>
      <c r="AC1" s="2" t="s">
        <v>95</v>
      </c>
      <c r="AD1" s="2" t="s">
        <v>97</v>
      </c>
      <c r="AF1" s="2" t="s">
        <v>99</v>
      </c>
      <c r="AG1" s="2" t="s">
        <v>95</v>
      </c>
      <c r="AH1" s="2" t="s">
        <v>97</v>
      </c>
    </row>
    <row r="2" spans="1:34" ht="12" customHeight="1">
      <c r="A2">
        <f>SL!A2</f>
        <v>6</v>
      </c>
      <c r="B2" s="8">
        <f>$F$39/3.6</f>
        <v>151.62007309630437</v>
      </c>
      <c r="C2">
        <f>$B2*3.6</f>
        <v>545.83226314669571</v>
      </c>
      <c r="D2">
        <f>0.5*$H$37*($B2)^2</f>
        <v>4359.9999999999982</v>
      </c>
      <c r="E2">
        <f>(2/$H$37)*($E$35)*(1/$B2)^2</f>
        <v>1.5000000000000004</v>
      </c>
      <c r="F2">
        <f>$J$33+$J$35*($E2)^2</f>
        <v>0.13242541958341617</v>
      </c>
      <c r="G2" s="7">
        <f>($F2*$D2*$A$33)/9.81</f>
        <v>31782.100700019862</v>
      </c>
      <c r="H2" s="8">
        <f>$E2/$F2</f>
        <v>11.327130430990515</v>
      </c>
      <c r="I2" s="7">
        <f>$D$33/$H2</f>
        <v>31782.10070001987</v>
      </c>
      <c r="J2" s="7">
        <f>$G2*9.81*$B2/1000</f>
        <v>47272.471470965866</v>
      </c>
      <c r="K2" s="7">
        <f>$J2/0.746</f>
        <v>63367.924223814836</v>
      </c>
      <c r="L2" s="10">
        <f>$B2/$J$37</f>
        <v>0.51126844676915473</v>
      </c>
      <c r="M2">
        <f>$R$35*$G$37</f>
        <v>25762.637290192866</v>
      </c>
      <c r="N2">
        <f>M2/$O$35</f>
        <v>0.24771766625185448</v>
      </c>
      <c r="O2">
        <f>$M2*9.81*$B2/746</f>
        <v>51366.171890882841</v>
      </c>
      <c r="P2" s="7">
        <f>$M2-$G2</f>
        <v>-6019.4634098269962</v>
      </c>
      <c r="Q2" s="8">
        <f>57.3*ASIN($P2/$D$33)</f>
        <v>-0.95814257630963451</v>
      </c>
      <c r="R2" s="7">
        <f>$O2-$K2</f>
        <v>-12001.752332931996</v>
      </c>
      <c r="S2">
        <f>$R2*746/($D$33*9.81)</f>
        <v>-2.5351985616624955</v>
      </c>
      <c r="T2" s="13">
        <f>U2*9.81/(D2*$A$33)</f>
        <v>0.13242541958341617</v>
      </c>
      <c r="U2" s="13">
        <f>IF(L2&lt;$M$33,I2,$M$37+$M$37*14*(L2-$M$33))</f>
        <v>31782.10070001987</v>
      </c>
      <c r="V2" s="14">
        <f>$U2*9.81*$B2/1000</f>
        <v>47272.47147096588</v>
      </c>
      <c r="W2" s="14">
        <f>$V2/0.746</f>
        <v>63367.924223814851</v>
      </c>
      <c r="X2" s="14">
        <f>$M2-$U2</f>
        <v>-6019.4634098270035</v>
      </c>
      <c r="Y2" s="15">
        <f>57.3*ASIN($X2/$D$33)</f>
        <v>-0.95814257630963562</v>
      </c>
      <c r="Z2" s="14">
        <f>$O2-$W2</f>
        <v>-12001.75233293201</v>
      </c>
      <c r="AA2" s="13">
        <f>$Z2*746/($D$33*9.81)</f>
        <v>-2.5351985616624986</v>
      </c>
      <c r="AC2">
        <f>11.27*(2/$S$33)*SQRT(2/($H$37*$A$33))*(SQRT(E2))*(1/T2)*(SQRT($D$33)-SQRT($D$33-$E$33))</f>
        <v>2759.7339580056009</v>
      </c>
      <c r="AD2">
        <f>(1/$S$33)*(E2/T2)*LN($D$33/($D$33-$E$33))</f>
        <v>5.431020595531642</v>
      </c>
      <c r="AF2">
        <f>0.55+(L2-0.5)*0.4</f>
        <v>0.55450737870766198</v>
      </c>
      <c r="AG2">
        <f>11.27*(2/AF2)*SQRT(2/($H$37*$A$33))*(SQRT(E2))*(1/T2)*(SQRT($D$33)-SQRT($D$33-$E$33))</f>
        <v>2986.146692335225</v>
      </c>
      <c r="AH2">
        <f>(1/AF2)*(E2/T2)*LN($D$33/($D$33-$E$33))</f>
        <v>5.8765897126806959</v>
      </c>
    </row>
    <row r="3" spans="1:34" ht="12" customHeight="1">
      <c r="B3" s="8">
        <f>B2+$A$2</f>
        <v>157.62007309630437</v>
      </c>
      <c r="C3">
        <f t="shared" ref="C3:C30" si="0">$B3*3.6</f>
        <v>567.43226314669573</v>
      </c>
      <c r="D3">
        <f t="shared" ref="D3:D30" si="1">0.5*$H$37*($B3)^2</f>
        <v>4711.9007611548004</v>
      </c>
      <c r="E3">
        <f t="shared" ref="E3:E30" si="2">(2/$H$37)*($E$35)*(1/$B3)^2</f>
        <v>1.3879749025947581</v>
      </c>
      <c r="F3">
        <f t="shared" ref="F3:F30" si="3">$J$33+$J$35*($E3)^2</f>
        <v>0.11597228157937037</v>
      </c>
      <c r="G3" s="7">
        <f t="shared" ref="G3:G30" si="4">($F3*$D3*$A$33)/9.81</f>
        <v>30079.810009909765</v>
      </c>
      <c r="H3" s="8">
        <f t="shared" ref="H3:H30" si="5">$E3/$F3</f>
        <v>11.96816069919984</v>
      </c>
      <c r="I3" s="7">
        <f t="shared" ref="I3:I30" si="6">$D$33/$H3</f>
        <v>30079.810009909765</v>
      </c>
      <c r="J3" s="7">
        <f t="shared" ref="J3:J30" si="7">$G3*9.81*$B3/1000</f>
        <v>46510.993972877113</v>
      </c>
      <c r="K3" s="7">
        <f t="shared" ref="K3:K30" si="8">$J3/0.746</f>
        <v>62347.176907341978</v>
      </c>
      <c r="L3" s="10">
        <f t="shared" ref="L3:L30" si="9">$B3/$J$37</f>
        <v>0.5315006668042056</v>
      </c>
      <c r="M3">
        <f t="shared" ref="M3:M30" si="10">$R$35*$G$37</f>
        <v>25762.637290192866</v>
      </c>
      <c r="N3">
        <f t="shared" ref="N3:N30" si="11">M3/$O$35</f>
        <v>0.24771766625185448</v>
      </c>
      <c r="O3">
        <f t="shared" ref="O3:O30" si="12">$M3*9.81*$B3/746</f>
        <v>53398.864693698859</v>
      </c>
      <c r="P3" s="7">
        <f t="shared" ref="P3:P30" si="13">$M3-$G3</f>
        <v>-4317.1727197168984</v>
      </c>
      <c r="Q3" s="8">
        <f t="shared" ref="Q3:Q30" si="14">57.3*ASIN($P3/$D$33)</f>
        <v>-0.68716646230812672</v>
      </c>
      <c r="R3" s="7">
        <f t="shared" ref="R3:R29" si="15">$O3-$K3</f>
        <v>-8948.3122136431193</v>
      </c>
      <c r="S3">
        <f t="shared" ref="S3:S30" si="16">$R3*746/($D$33*9.81)</f>
        <v>-1.8902029990309681</v>
      </c>
      <c r="T3" s="13">
        <f t="shared" ref="T3:T30" si="17">U3*9.81/(D3*$A$33)</f>
        <v>0.11597228157937038</v>
      </c>
      <c r="U3" s="13">
        <f t="shared" ref="U3:U30" si="18">IF(L3&lt;$M$33,I3,$M$37+$M$37*14*(L3-$M$33))</f>
        <v>30079.810009909765</v>
      </c>
      <c r="V3" s="14">
        <f t="shared" ref="V3:V30" si="19">$U3*9.81*$B3/1000</f>
        <v>46510.993972877113</v>
      </c>
      <c r="W3" s="14">
        <f t="shared" ref="W3:W30" si="20">$V3/0.746</f>
        <v>62347.176907341978</v>
      </c>
      <c r="X3" s="14">
        <f t="shared" ref="X3:X30" si="21">$M3-$U3</f>
        <v>-4317.1727197168984</v>
      </c>
      <c r="Y3" s="15">
        <f t="shared" ref="Y3:Y30" si="22">57.3*ASIN($X3/$D$33)</f>
        <v>-0.68716646230812672</v>
      </c>
      <c r="Z3" s="14">
        <f t="shared" ref="Z3:Z30" si="23">$O3-$W3</f>
        <v>-8948.3122136431193</v>
      </c>
      <c r="AA3" s="13">
        <f t="shared" ref="AA3:AA30" si="24">$Z3*746/($D$33*9.81)</f>
        <v>-1.8902029990309681</v>
      </c>
      <c r="AC3">
        <f t="shared" ref="AC3:AC30" si="25">11.27*(2/$S$33)*SQRT(2/($H$37*$A$33))*(SQRT(E3))*(1/T3)*(SQRT($D$33)-SQRT($D$33-$E$33))</f>
        <v>3031.3044073105125</v>
      </c>
      <c r="AD3">
        <f t="shared" ref="AD3:AD30" si="26">(1/$S$33)*(E3/T3)*LN($D$33/($D$33-$E$33))</f>
        <v>5.7383754556362732</v>
      </c>
      <c r="AF3">
        <f t="shared" ref="AF3:AF30" si="27">0.55+(L3-0.5)*0.4</f>
        <v>0.56260026672168229</v>
      </c>
      <c r="AG3">
        <f t="shared" ref="AG3:AG30" si="28">11.27*(2/AF3)*SQRT(2/($H$37*$A$33))*(SQRT(E3))*(1/T3)*(SQRT($D$33)-SQRT($D$33-$E$33))</f>
        <v>3232.8151122012478</v>
      </c>
      <c r="AH3">
        <f t="shared" ref="AH3:AH30" si="29">(1/AF3)*(E3/T3)*LN($D$33/($D$33-$E$33))</f>
        <v>6.1198429454087417</v>
      </c>
    </row>
    <row r="4" spans="1:34" ht="12" customHeight="1">
      <c r="B4" s="8">
        <f t="shared" ref="B4:B30" si="30">B3+$A$2</f>
        <v>163.62007309630437</v>
      </c>
      <c r="C4">
        <f t="shared" si="0"/>
        <v>589.03226314669575</v>
      </c>
      <c r="D4">
        <f t="shared" si="1"/>
        <v>5077.4569586617354</v>
      </c>
      <c r="E4">
        <f t="shared" si="2"/>
        <v>1.288046369126435</v>
      </c>
      <c r="F4">
        <f t="shared" si="3"/>
        <v>0.10237290278648854</v>
      </c>
      <c r="G4" s="7">
        <f t="shared" si="4"/>
        <v>28612.514181559131</v>
      </c>
      <c r="H4" s="8">
        <f t="shared" si="5"/>
        <v>12.581907263221952</v>
      </c>
      <c r="I4" s="7">
        <f t="shared" si="6"/>
        <v>28612.514181559138</v>
      </c>
      <c r="J4" s="7">
        <f t="shared" si="7"/>
        <v>45926.316102804907</v>
      </c>
      <c r="K4" s="7">
        <f t="shared" si="8"/>
        <v>61563.426411266635</v>
      </c>
      <c r="L4" s="10">
        <f t="shared" si="9"/>
        <v>0.55173288683925648</v>
      </c>
      <c r="M4">
        <f t="shared" si="10"/>
        <v>25762.637290192866</v>
      </c>
      <c r="N4">
        <f t="shared" si="11"/>
        <v>0.24771766625185448</v>
      </c>
      <c r="O4">
        <f t="shared" si="12"/>
        <v>55431.557496514877</v>
      </c>
      <c r="P4" s="7">
        <f t="shared" si="13"/>
        <v>-2849.8768913662643</v>
      </c>
      <c r="Q4" s="8">
        <f t="shared" si="14"/>
        <v>-0.4536101431148723</v>
      </c>
      <c r="R4" s="7">
        <f t="shared" si="15"/>
        <v>-6131.868914751758</v>
      </c>
      <c r="S4">
        <f t="shared" si="16"/>
        <v>-1.2952696257800462</v>
      </c>
      <c r="T4" s="13">
        <f t="shared" si="17"/>
        <v>0.10237290278648857</v>
      </c>
      <c r="U4" s="13">
        <f t="shared" si="18"/>
        <v>28612.514181559138</v>
      </c>
      <c r="V4" s="14">
        <f t="shared" si="19"/>
        <v>45926.316102804929</v>
      </c>
      <c r="W4" s="14">
        <f t="shared" si="20"/>
        <v>61563.426411266664</v>
      </c>
      <c r="X4" s="14">
        <f t="shared" si="21"/>
        <v>-2849.8768913662716</v>
      </c>
      <c r="Y4" s="15">
        <f t="shared" si="22"/>
        <v>-0.45361014311487352</v>
      </c>
      <c r="Z4" s="14">
        <f t="shared" si="23"/>
        <v>-6131.8689147517871</v>
      </c>
      <c r="AA4" s="13">
        <f t="shared" si="24"/>
        <v>-1.2952696257800524</v>
      </c>
      <c r="AC4">
        <f t="shared" si="25"/>
        <v>3308.0622747444463</v>
      </c>
      <c r="AD4">
        <f t="shared" si="26"/>
        <v>6.0326485947996744</v>
      </c>
      <c r="AF4">
        <f t="shared" si="27"/>
        <v>0.57069315473570259</v>
      </c>
      <c r="AG4">
        <f t="shared" si="28"/>
        <v>3477.9414268003243</v>
      </c>
      <c r="AH4">
        <f t="shared" si="29"/>
        <v>6.3424436176321324</v>
      </c>
    </row>
    <row r="5" spans="1:34" ht="12" customHeight="1">
      <c r="B5" s="8">
        <f t="shared" si="30"/>
        <v>169.62007309630437</v>
      </c>
      <c r="C5">
        <f t="shared" si="0"/>
        <v>610.63226314669578</v>
      </c>
      <c r="D5">
        <f t="shared" si="1"/>
        <v>5456.6685925208049</v>
      </c>
      <c r="E5">
        <f t="shared" si="2"/>
        <v>1.1985334804763597</v>
      </c>
      <c r="F5">
        <f t="shared" si="3"/>
        <v>9.1053383655181036E-2</v>
      </c>
      <c r="G5" s="7">
        <f t="shared" si="4"/>
        <v>27349.438834897628</v>
      </c>
      <c r="H5" s="8">
        <f t="shared" si="5"/>
        <v>13.162975744154696</v>
      </c>
      <c r="I5" s="7">
        <f t="shared" si="6"/>
        <v>27349.438834897632</v>
      </c>
      <c r="J5" s="7">
        <f t="shared" si="7"/>
        <v>45508.72551846195</v>
      </c>
      <c r="K5" s="7">
        <f t="shared" si="8"/>
        <v>61003.653510002616</v>
      </c>
      <c r="L5" s="10">
        <f t="shared" si="9"/>
        <v>0.57196510687430735</v>
      </c>
      <c r="M5">
        <f t="shared" si="10"/>
        <v>25762.637290192866</v>
      </c>
      <c r="N5">
        <f t="shared" si="11"/>
        <v>0.24771766625185448</v>
      </c>
      <c r="O5">
        <f t="shared" si="12"/>
        <v>57464.250299330903</v>
      </c>
      <c r="P5" s="7">
        <f t="shared" si="13"/>
        <v>-1586.8015447047619</v>
      </c>
      <c r="Q5" s="8">
        <f t="shared" si="14"/>
        <v>-0.2525667303705969</v>
      </c>
      <c r="R5" s="7">
        <f t="shared" si="15"/>
        <v>-3539.4032106717132</v>
      </c>
      <c r="S5">
        <f t="shared" si="16"/>
        <v>-0.74764831667264076</v>
      </c>
      <c r="T5" s="13">
        <f t="shared" si="17"/>
        <v>9.105338365518105E-2</v>
      </c>
      <c r="U5" s="13">
        <f t="shared" si="18"/>
        <v>27349.438834897632</v>
      </c>
      <c r="V5" s="14">
        <f t="shared" si="19"/>
        <v>45508.72551846195</v>
      </c>
      <c r="W5" s="14">
        <f t="shared" si="20"/>
        <v>61003.653510002616</v>
      </c>
      <c r="X5" s="14">
        <f t="shared" si="21"/>
        <v>-1586.8015447047655</v>
      </c>
      <c r="Y5" s="15">
        <f t="shared" si="22"/>
        <v>-0.25256673037059751</v>
      </c>
      <c r="Z5" s="14">
        <f t="shared" si="23"/>
        <v>-3539.4032106717132</v>
      </c>
      <c r="AA5" s="13">
        <f t="shared" si="24"/>
        <v>-0.74764831667264076</v>
      </c>
      <c r="AC5">
        <f t="shared" si="25"/>
        <v>3587.7480864399413</v>
      </c>
      <c r="AD5">
        <f t="shared" si="26"/>
        <v>6.3112535695182412</v>
      </c>
      <c r="AF5">
        <f t="shared" si="27"/>
        <v>0.57878604274972301</v>
      </c>
      <c r="AG5">
        <f t="shared" si="28"/>
        <v>3719.2480344499368</v>
      </c>
      <c r="AH5">
        <f t="shared" si="29"/>
        <v>6.5425768108032996</v>
      </c>
    </row>
    <row r="6" spans="1:34" ht="12" customHeight="1">
      <c r="B6" s="8">
        <f t="shared" si="30"/>
        <v>175.62007309630437</v>
      </c>
      <c r="C6">
        <f t="shared" si="0"/>
        <v>632.23226314669569</v>
      </c>
      <c r="D6">
        <f t="shared" si="1"/>
        <v>5849.535662732007</v>
      </c>
      <c r="E6">
        <f t="shared" si="2"/>
        <v>1.1180374609333545</v>
      </c>
      <c r="F6">
        <f t="shared" si="3"/>
        <v>8.1570072392881623E-2</v>
      </c>
      <c r="G6" s="7">
        <f t="shared" si="4"/>
        <v>26264.975090300508</v>
      </c>
      <c r="H6" s="8">
        <f t="shared" si="5"/>
        <v>13.706466454367428</v>
      </c>
      <c r="I6" s="7">
        <f t="shared" si="6"/>
        <v>26264.975090300508</v>
      </c>
      <c r="J6" s="7">
        <f t="shared" si="7"/>
        <v>45250.163651717958</v>
      </c>
      <c r="K6" s="7">
        <f t="shared" si="8"/>
        <v>60657.05583340209</v>
      </c>
      <c r="L6" s="10">
        <f t="shared" si="9"/>
        <v>0.59219732690935822</v>
      </c>
      <c r="M6">
        <f t="shared" si="10"/>
        <v>25762.637290192866</v>
      </c>
      <c r="N6">
        <f t="shared" si="11"/>
        <v>0.24771766625185448</v>
      </c>
      <c r="O6">
        <f t="shared" si="12"/>
        <v>59496.943102146921</v>
      </c>
      <c r="P6" s="7">
        <f t="shared" si="13"/>
        <v>-502.33780010764167</v>
      </c>
      <c r="Q6" s="8">
        <f t="shared" si="14"/>
        <v>-7.9955459130601023E-2</v>
      </c>
      <c r="R6" s="7">
        <f t="shared" si="15"/>
        <v>-1160.1127312551689</v>
      </c>
      <c r="S6">
        <f t="shared" si="16"/>
        <v>-0.24505722548316797</v>
      </c>
      <c r="T6" s="13">
        <f t="shared" si="17"/>
        <v>8.1570072392881623E-2</v>
      </c>
      <c r="U6" s="13">
        <f t="shared" si="18"/>
        <v>26264.975090300508</v>
      </c>
      <c r="V6" s="14">
        <f t="shared" si="19"/>
        <v>45250.163651717958</v>
      </c>
      <c r="W6" s="14">
        <f t="shared" si="20"/>
        <v>60657.05583340209</v>
      </c>
      <c r="X6" s="14">
        <f t="shared" si="21"/>
        <v>-502.33780010764167</v>
      </c>
      <c r="Y6" s="15">
        <f t="shared" si="22"/>
        <v>-7.9955459130601023E-2</v>
      </c>
      <c r="Z6" s="14">
        <f t="shared" si="23"/>
        <v>-1160.1127312551689</v>
      </c>
      <c r="AA6" s="13">
        <f t="shared" si="24"/>
        <v>-0.24505722548316797</v>
      </c>
      <c r="AC6">
        <f t="shared" si="25"/>
        <v>3868.0339345964999</v>
      </c>
      <c r="AD6">
        <f t="shared" si="26"/>
        <v>6.5718411259720568</v>
      </c>
      <c r="AF6">
        <f t="shared" si="27"/>
        <v>0.58687893076374331</v>
      </c>
      <c r="AG6">
        <f t="shared" si="28"/>
        <v>3954.5129993637133</v>
      </c>
      <c r="AH6">
        <f t="shared" si="29"/>
        <v>6.7187702077698006</v>
      </c>
    </row>
    <row r="7" spans="1:34" ht="12" customHeight="1">
      <c r="B7" s="8">
        <f t="shared" si="30"/>
        <v>181.62007309630437</v>
      </c>
      <c r="C7">
        <f t="shared" si="0"/>
        <v>653.83226314669571</v>
      </c>
      <c r="D7">
        <f t="shared" si="1"/>
        <v>6256.0581692953419</v>
      </c>
      <c r="E7">
        <f t="shared" si="2"/>
        <v>1.0453866992634819</v>
      </c>
      <c r="F7">
        <f t="shared" si="3"/>
        <v>7.357685098781426E-2</v>
      </c>
      <c r="G7" s="7">
        <f t="shared" si="4"/>
        <v>25337.673010642648</v>
      </c>
      <c r="H7" s="8">
        <f t="shared" si="5"/>
        <v>14.208092426198263</v>
      </c>
      <c r="I7" s="7">
        <f t="shared" si="6"/>
        <v>25337.673010642651</v>
      </c>
      <c r="J7" s="7">
        <f t="shared" si="7"/>
        <v>45143.952538217964</v>
      </c>
      <c r="K7" s="7">
        <f t="shared" si="8"/>
        <v>60514.681686619253</v>
      </c>
      <c r="L7" s="10">
        <f t="shared" si="9"/>
        <v>0.6124295469444091</v>
      </c>
      <c r="M7">
        <f t="shared" si="10"/>
        <v>25762.637290192866</v>
      </c>
      <c r="N7">
        <f t="shared" si="11"/>
        <v>0.24771766625185448</v>
      </c>
      <c r="O7">
        <f t="shared" si="12"/>
        <v>61529.635904962939</v>
      </c>
      <c r="P7" s="7">
        <f t="shared" si="13"/>
        <v>424.96427955021863</v>
      </c>
      <c r="Q7" s="8">
        <f t="shared" si="14"/>
        <v>6.7640163537586409E-2</v>
      </c>
      <c r="R7" s="7">
        <f t="shared" si="15"/>
        <v>1014.9542183436861</v>
      </c>
      <c r="S7">
        <f t="shared" si="16"/>
        <v>0.21439456532007869</v>
      </c>
      <c r="T7" s="13">
        <f t="shared" si="17"/>
        <v>7.3576850987814274E-2</v>
      </c>
      <c r="U7" s="13">
        <f t="shared" si="18"/>
        <v>25337.673010642651</v>
      </c>
      <c r="V7" s="14">
        <f t="shared" si="19"/>
        <v>45143.952538217964</v>
      </c>
      <c r="W7" s="14">
        <f t="shared" si="20"/>
        <v>60514.681686619253</v>
      </c>
      <c r="X7" s="14">
        <f t="shared" si="21"/>
        <v>424.964279550215</v>
      </c>
      <c r="Y7" s="15">
        <f t="shared" si="22"/>
        <v>6.7640163537585826E-2</v>
      </c>
      <c r="Z7" s="14">
        <f t="shared" si="23"/>
        <v>1014.9542183436861</v>
      </c>
      <c r="AA7" s="13">
        <f t="shared" si="24"/>
        <v>0.21439456532007869</v>
      </c>
      <c r="AC7">
        <f t="shared" si="25"/>
        <v>4146.5817714194745</v>
      </c>
      <c r="AD7">
        <f t="shared" si="26"/>
        <v>6.8123557912586108</v>
      </c>
      <c r="AF7">
        <f t="shared" si="27"/>
        <v>0.59497181877776373</v>
      </c>
      <c r="AG7">
        <f t="shared" si="28"/>
        <v>4181.6250523640228</v>
      </c>
      <c r="AH7">
        <f t="shared" si="29"/>
        <v>6.8699278617125783</v>
      </c>
    </row>
    <row r="8" spans="1:34" ht="12" customHeight="1">
      <c r="B8" s="8">
        <f t="shared" si="30"/>
        <v>187.62007309630437</v>
      </c>
      <c r="C8">
        <f t="shared" si="0"/>
        <v>675.43226314669573</v>
      </c>
      <c r="D8">
        <f t="shared" si="1"/>
        <v>6676.2361122108114</v>
      </c>
      <c r="E8">
        <f t="shared" si="2"/>
        <v>0.97959387446444024</v>
      </c>
      <c r="F8">
        <f t="shared" si="3"/>
        <v>6.6801381562124215E-2</v>
      </c>
      <c r="G8" s="7">
        <f t="shared" si="4"/>
        <v>24549.456656731767</v>
      </c>
      <c r="H8" s="8">
        <f t="shared" si="5"/>
        <v>14.664275671505889</v>
      </c>
      <c r="I8" s="7">
        <f t="shared" si="6"/>
        <v>24549.456656731771</v>
      </c>
      <c r="J8" s="7">
        <f t="shared" si="7"/>
        <v>45184.574062147694</v>
      </c>
      <c r="K8" s="7">
        <f t="shared" si="8"/>
        <v>60569.134131565275</v>
      </c>
      <c r="L8" s="10">
        <f t="shared" si="9"/>
        <v>0.63266176697945997</v>
      </c>
      <c r="M8">
        <f t="shared" si="10"/>
        <v>25762.637290192866</v>
      </c>
      <c r="N8">
        <f t="shared" si="11"/>
        <v>0.24771766625185448</v>
      </c>
      <c r="O8">
        <f t="shared" si="12"/>
        <v>63562.328707778972</v>
      </c>
      <c r="P8" s="7">
        <f t="shared" si="13"/>
        <v>1213.1806334610992</v>
      </c>
      <c r="Q8" s="8">
        <f t="shared" si="14"/>
        <v>0.19309828298171364</v>
      </c>
      <c r="R8" s="7">
        <f t="shared" si="15"/>
        <v>2993.1945762136966</v>
      </c>
      <c r="S8">
        <f t="shared" si="16"/>
        <v>0.63226955313609068</v>
      </c>
      <c r="T8" s="13">
        <f t="shared" si="17"/>
        <v>6.6801381562124215E-2</v>
      </c>
      <c r="U8" s="13">
        <f t="shared" si="18"/>
        <v>24549.456656731771</v>
      </c>
      <c r="V8" s="14">
        <f t="shared" si="19"/>
        <v>45184.574062147702</v>
      </c>
      <c r="W8" s="14">
        <f t="shared" si="20"/>
        <v>60569.134131565283</v>
      </c>
      <c r="X8" s="14">
        <f t="shared" si="21"/>
        <v>1213.1806334610956</v>
      </c>
      <c r="Y8" s="15">
        <f t="shared" si="22"/>
        <v>0.19309828298171308</v>
      </c>
      <c r="Z8" s="14">
        <f t="shared" si="23"/>
        <v>2993.1945762136893</v>
      </c>
      <c r="AA8" s="13">
        <f t="shared" si="24"/>
        <v>0.63226955313608912</v>
      </c>
      <c r="AC8">
        <f t="shared" si="25"/>
        <v>4421.1019677235972</v>
      </c>
      <c r="AD8">
        <f t="shared" si="26"/>
        <v>7.0310820269717409</v>
      </c>
      <c r="AF8">
        <f t="shared" si="27"/>
        <v>0.60306470679178403</v>
      </c>
      <c r="AG8">
        <f t="shared" si="28"/>
        <v>4398.6344263883839</v>
      </c>
      <c r="AH8">
        <f t="shared" si="29"/>
        <v>6.9953508614782658</v>
      </c>
    </row>
    <row r="9" spans="1:34" ht="12" customHeight="1">
      <c r="B9" s="8">
        <f t="shared" si="30"/>
        <v>193.62007309630437</v>
      </c>
      <c r="C9">
        <f t="shared" si="0"/>
        <v>697.03226314669575</v>
      </c>
      <c r="D9">
        <f t="shared" si="1"/>
        <v>7110.0694914784144</v>
      </c>
      <c r="E9">
        <f t="shared" si="2"/>
        <v>0.91982223350114145</v>
      </c>
      <c r="F9">
        <f t="shared" si="3"/>
        <v>6.1027667244403769E-2</v>
      </c>
      <c r="G9" s="7">
        <f t="shared" si="4"/>
        <v>23885.006697827437</v>
      </c>
      <c r="H9" s="8">
        <f t="shared" si="5"/>
        <v>15.072216832693847</v>
      </c>
      <c r="I9" s="7">
        <f t="shared" si="6"/>
        <v>23885.006697827437</v>
      </c>
      <c r="J9" s="7">
        <f t="shared" si="7"/>
        <v>45367.490246270252</v>
      </c>
      <c r="K9" s="7">
        <f t="shared" si="8"/>
        <v>60814.330088834118</v>
      </c>
      <c r="L9" s="10">
        <f t="shared" si="9"/>
        <v>0.65289398701451085</v>
      </c>
      <c r="M9">
        <f t="shared" si="10"/>
        <v>25762.637290192866</v>
      </c>
      <c r="N9">
        <f t="shared" si="11"/>
        <v>0.24771766625185448</v>
      </c>
      <c r="O9">
        <f t="shared" si="12"/>
        <v>65595.02151059499</v>
      </c>
      <c r="P9" s="7">
        <f t="shared" si="13"/>
        <v>1877.630592365429</v>
      </c>
      <c r="Q9" s="8">
        <f t="shared" si="14"/>
        <v>0.29885755759429128</v>
      </c>
      <c r="R9" s="7">
        <f t="shared" si="15"/>
        <v>4780.6914217608719</v>
      </c>
      <c r="S9">
        <f t="shared" si="16"/>
        <v>1.0098527015045899</v>
      </c>
      <c r="T9" s="13">
        <f t="shared" si="17"/>
        <v>6.1027667244403769E-2</v>
      </c>
      <c r="U9" s="13">
        <f t="shared" si="18"/>
        <v>23885.006697827437</v>
      </c>
      <c r="V9" s="14">
        <f t="shared" si="19"/>
        <v>45367.490246270252</v>
      </c>
      <c r="W9" s="14">
        <f t="shared" si="20"/>
        <v>60814.330088834118</v>
      </c>
      <c r="X9" s="14">
        <f t="shared" si="21"/>
        <v>1877.630592365429</v>
      </c>
      <c r="Y9" s="15">
        <f t="shared" si="22"/>
        <v>0.29885755759429128</v>
      </c>
      <c r="Z9" s="14">
        <f t="shared" si="23"/>
        <v>4780.6914217608719</v>
      </c>
      <c r="AA9" s="13">
        <f t="shared" si="24"/>
        <v>1.0098527015045899</v>
      </c>
      <c r="AC9">
        <f t="shared" si="25"/>
        <v>4689.4091613260434</v>
      </c>
      <c r="AD9">
        <f t="shared" si="26"/>
        <v>7.226677624786638</v>
      </c>
      <c r="AF9">
        <f t="shared" si="27"/>
        <v>0.61115759480580434</v>
      </c>
      <c r="AG9">
        <f t="shared" si="28"/>
        <v>4603.7969923120454</v>
      </c>
      <c r="AH9">
        <f t="shared" si="29"/>
        <v>7.0947438299441421</v>
      </c>
    </row>
    <row r="10" spans="1:34" ht="12" customHeight="1">
      <c r="B10" s="8">
        <f t="shared" si="30"/>
        <v>199.62007309630437</v>
      </c>
      <c r="C10">
        <f t="shared" si="0"/>
        <v>718.63226314669578</v>
      </c>
      <c r="D10">
        <f t="shared" si="1"/>
        <v>7557.5583070981502</v>
      </c>
      <c r="E10">
        <f t="shared" si="2"/>
        <v>0.86535885457311668</v>
      </c>
      <c r="F10">
        <f t="shared" si="3"/>
        <v>5.6083116315706047E-2</v>
      </c>
      <c r="G10" s="7">
        <f t="shared" si="4"/>
        <v>23331.270913745837</v>
      </c>
      <c r="H10" s="8">
        <f t="shared" si="5"/>
        <v>15.429935271460181</v>
      </c>
      <c r="I10" s="7">
        <f t="shared" si="6"/>
        <v>23331.270913745844</v>
      </c>
      <c r="J10" s="7">
        <f t="shared" si="7"/>
        <v>45688.995951322235</v>
      </c>
      <c r="K10" s="7">
        <f t="shared" si="8"/>
        <v>61245.302883809964</v>
      </c>
      <c r="L10" s="10">
        <f t="shared" si="9"/>
        <v>0.67312620704956172</v>
      </c>
      <c r="M10">
        <f t="shared" si="10"/>
        <v>25762.637290192866</v>
      </c>
      <c r="N10">
        <f t="shared" si="11"/>
        <v>0.24771766625185448</v>
      </c>
      <c r="O10">
        <f t="shared" si="12"/>
        <v>67627.714313411008</v>
      </c>
      <c r="P10" s="7">
        <f t="shared" si="13"/>
        <v>2431.3663764470293</v>
      </c>
      <c r="Q10" s="8">
        <f t="shared" si="14"/>
        <v>0.38699542367482082</v>
      </c>
      <c r="R10" s="7">
        <f t="shared" si="15"/>
        <v>6382.4114296010448</v>
      </c>
      <c r="S10">
        <f t="shared" si="16"/>
        <v>1.3481931494173687</v>
      </c>
      <c r="T10" s="13">
        <f t="shared" si="17"/>
        <v>5.6083116315706068E-2</v>
      </c>
      <c r="U10" s="13">
        <f t="shared" si="18"/>
        <v>23331.270913745844</v>
      </c>
      <c r="V10" s="14">
        <f t="shared" si="19"/>
        <v>45688.995951322249</v>
      </c>
      <c r="W10" s="14">
        <f t="shared" si="20"/>
        <v>61245.302883809985</v>
      </c>
      <c r="X10" s="14">
        <f t="shared" si="21"/>
        <v>2431.366376447022</v>
      </c>
      <c r="Y10" s="15">
        <f t="shared" si="22"/>
        <v>0.38699542367481965</v>
      </c>
      <c r="Z10" s="14">
        <f t="shared" si="23"/>
        <v>6382.411429601023</v>
      </c>
      <c r="AA10" s="13">
        <f t="shared" si="24"/>
        <v>1.348193149417364</v>
      </c>
      <c r="AC10">
        <f t="shared" si="25"/>
        <v>4949.4726519417818</v>
      </c>
      <c r="AD10">
        <f t="shared" si="26"/>
        <v>7.398192927817492</v>
      </c>
      <c r="AF10">
        <f t="shared" si="27"/>
        <v>0.61925048281982475</v>
      </c>
      <c r="AG10">
        <f t="shared" si="28"/>
        <v>4795.609649979262</v>
      </c>
      <c r="AH10">
        <f t="shared" si="29"/>
        <v>7.1682071792296496</v>
      </c>
    </row>
    <row r="11" spans="1:34" ht="12" customHeight="1">
      <c r="B11" s="8">
        <f t="shared" si="30"/>
        <v>205.62007309630437</v>
      </c>
      <c r="C11">
        <f t="shared" si="0"/>
        <v>740.23226314669569</v>
      </c>
      <c r="D11">
        <f t="shared" si="1"/>
        <v>8018.7025590700205</v>
      </c>
      <c r="E11">
        <f t="shared" si="2"/>
        <v>0.81559328979007339</v>
      </c>
      <c r="F11">
        <f t="shared" si="3"/>
        <v>5.1828853829232163E-2</v>
      </c>
      <c r="G11" s="7">
        <f t="shared" si="4"/>
        <v>22877.07318353009</v>
      </c>
      <c r="H11" s="8">
        <f t="shared" si="5"/>
        <v>15.736278723765022</v>
      </c>
      <c r="I11" s="7">
        <f t="shared" si="6"/>
        <v>22877.073183530098</v>
      </c>
      <c r="J11" s="7">
        <f t="shared" si="7"/>
        <v>46146.097364826492</v>
      </c>
      <c r="K11" s="7">
        <f t="shared" si="8"/>
        <v>61858.039363038195</v>
      </c>
      <c r="L11" s="10">
        <f t="shared" si="9"/>
        <v>0.69335842708461259</v>
      </c>
      <c r="M11">
        <f t="shared" si="10"/>
        <v>25762.637290192866</v>
      </c>
      <c r="N11">
        <f t="shared" si="11"/>
        <v>0.24771766625185448</v>
      </c>
      <c r="O11">
        <f t="shared" si="12"/>
        <v>69660.407116227027</v>
      </c>
      <c r="P11" s="7">
        <f t="shared" si="13"/>
        <v>2885.5641066627759</v>
      </c>
      <c r="Q11" s="8">
        <f t="shared" si="14"/>
        <v>0.45929053844732048</v>
      </c>
      <c r="R11" s="7">
        <f t="shared" si="15"/>
        <v>7802.3677531888316</v>
      </c>
      <c r="S11">
        <f t="shared" si="16"/>
        <v>1.648138618155756</v>
      </c>
      <c r="T11" s="13">
        <f t="shared" si="17"/>
        <v>5.1828853829232184E-2</v>
      </c>
      <c r="U11" s="13">
        <f t="shared" si="18"/>
        <v>22877.073183530098</v>
      </c>
      <c r="V11" s="14">
        <f t="shared" si="19"/>
        <v>46146.097364826514</v>
      </c>
      <c r="W11" s="14">
        <f t="shared" si="20"/>
        <v>61858.039363038224</v>
      </c>
      <c r="X11" s="14">
        <f t="shared" si="21"/>
        <v>2885.5641066627686</v>
      </c>
      <c r="Y11" s="15">
        <f t="shared" si="22"/>
        <v>0.45929053844731937</v>
      </c>
      <c r="Z11" s="14">
        <f t="shared" si="23"/>
        <v>7802.3677531888025</v>
      </c>
      <c r="AA11" s="13">
        <f t="shared" si="24"/>
        <v>1.64813861815575</v>
      </c>
      <c r="AC11">
        <f t="shared" si="25"/>
        <v>5199.459059464315</v>
      </c>
      <c r="AD11">
        <f t="shared" si="26"/>
        <v>7.5450754598859753</v>
      </c>
      <c r="AF11">
        <f t="shared" si="27"/>
        <v>0.62734337083384506</v>
      </c>
      <c r="AG11">
        <f t="shared" si="28"/>
        <v>4972.8355805083502</v>
      </c>
      <c r="AH11">
        <f t="shared" si="29"/>
        <v>7.2162160092875123</v>
      </c>
    </row>
    <row r="12" spans="1:34" ht="12" customHeight="1">
      <c r="B12" s="8">
        <f t="shared" si="30"/>
        <v>211.62007309630437</v>
      </c>
      <c r="C12">
        <f t="shared" si="0"/>
        <v>761.83226314669571</v>
      </c>
      <c r="D12">
        <f t="shared" si="1"/>
        <v>8493.5022473940226</v>
      </c>
      <c r="E12">
        <f t="shared" si="2"/>
        <v>0.77000038494210121</v>
      </c>
      <c r="F12">
        <f t="shared" si="3"/>
        <v>4.8152399601623555E-2</v>
      </c>
      <c r="G12" s="7">
        <f t="shared" si="4"/>
        <v>22512.798948649797</v>
      </c>
      <c r="H12" s="8">
        <f t="shared" si="5"/>
        <v>15.990903699763679</v>
      </c>
      <c r="I12" s="7">
        <f t="shared" si="6"/>
        <v>22512.798948649805</v>
      </c>
      <c r="J12" s="7">
        <f t="shared" si="7"/>
        <v>46736.41116092477</v>
      </c>
      <c r="K12" s="7">
        <f t="shared" si="8"/>
        <v>62649.344719738299</v>
      </c>
      <c r="L12" s="10">
        <f t="shared" si="9"/>
        <v>0.71359064711966358</v>
      </c>
      <c r="M12">
        <f t="shared" si="10"/>
        <v>25762.637290192866</v>
      </c>
      <c r="N12">
        <f t="shared" si="11"/>
        <v>0.24771766625185448</v>
      </c>
      <c r="O12">
        <f t="shared" si="12"/>
        <v>71693.099919043045</v>
      </c>
      <c r="P12" s="7">
        <f t="shared" si="13"/>
        <v>3249.838341543069</v>
      </c>
      <c r="Q12" s="8">
        <f t="shared" si="14"/>
        <v>0.51727296184977201</v>
      </c>
      <c r="R12" s="7">
        <f t="shared" si="15"/>
        <v>9043.7551993047455</v>
      </c>
      <c r="S12">
        <f t="shared" si="16"/>
        <v>1.9103639649680995</v>
      </c>
      <c r="T12" s="13">
        <f t="shared" si="17"/>
        <v>4.8152399601623562E-2</v>
      </c>
      <c r="U12" s="13">
        <f t="shared" si="18"/>
        <v>22512.798948649805</v>
      </c>
      <c r="V12" s="14">
        <f t="shared" si="19"/>
        <v>46736.411160924778</v>
      </c>
      <c r="W12" s="14">
        <f t="shared" si="20"/>
        <v>62649.344719738307</v>
      </c>
      <c r="X12" s="14">
        <f t="shared" si="21"/>
        <v>3249.8383415430617</v>
      </c>
      <c r="Y12" s="15">
        <f t="shared" si="22"/>
        <v>0.5172729618497709</v>
      </c>
      <c r="Z12" s="14">
        <f t="shared" si="23"/>
        <v>9043.7551993047382</v>
      </c>
      <c r="AA12" s="13">
        <f t="shared" si="24"/>
        <v>1.9103639649680979</v>
      </c>
      <c r="AC12">
        <f t="shared" si="25"/>
        <v>5437.7655924910969</v>
      </c>
      <c r="AD12">
        <f t="shared" si="26"/>
        <v>7.6671605278747741</v>
      </c>
      <c r="AF12">
        <f t="shared" si="27"/>
        <v>0.63543625884786548</v>
      </c>
      <c r="AG12">
        <f t="shared" si="28"/>
        <v>5134.5187028047685</v>
      </c>
      <c r="AH12">
        <f t="shared" si="29"/>
        <v>7.2395873742959571</v>
      </c>
    </row>
    <row r="13" spans="1:34" ht="12" customHeight="1">
      <c r="B13" s="8">
        <f t="shared" si="30"/>
        <v>217.62007309630437</v>
      </c>
      <c r="C13">
        <f t="shared" si="0"/>
        <v>783.43226314669573</v>
      </c>
      <c r="D13">
        <f t="shared" si="1"/>
        <v>8981.9573720701592</v>
      </c>
      <c r="E13">
        <f t="shared" si="2"/>
        <v>0.72812636812733622</v>
      </c>
      <c r="F13">
        <f t="shared" si="3"/>
        <v>4.4962087449240289E-2</v>
      </c>
      <c r="G13" s="7">
        <f t="shared" si="4"/>
        <v>22230.140522662401</v>
      </c>
      <c r="H13" s="8">
        <f t="shared" si="5"/>
        <v>16.194229615102962</v>
      </c>
      <c r="I13" s="7">
        <f t="shared" si="6"/>
        <v>22230.140522662408</v>
      </c>
      <c r="J13" s="7">
        <f t="shared" si="7"/>
        <v>47458.080341787347</v>
      </c>
      <c r="K13" s="7">
        <f t="shared" si="8"/>
        <v>63616.729680680088</v>
      </c>
      <c r="L13" s="10">
        <f t="shared" si="9"/>
        <v>0.73382286715471445</v>
      </c>
      <c r="M13">
        <f t="shared" si="10"/>
        <v>25762.637290192866</v>
      </c>
      <c r="N13">
        <f t="shared" si="11"/>
        <v>0.24771766625185448</v>
      </c>
      <c r="O13">
        <f t="shared" si="12"/>
        <v>73725.792721859078</v>
      </c>
      <c r="P13" s="7">
        <f t="shared" si="13"/>
        <v>3532.4967675304651</v>
      </c>
      <c r="Q13" s="8">
        <f t="shared" si="14"/>
        <v>0.56226475868660786</v>
      </c>
      <c r="R13" s="7">
        <f t="shared" si="15"/>
        <v>10109.06304117899</v>
      </c>
      <c r="S13">
        <f t="shared" si="16"/>
        <v>2.1353950132289974</v>
      </c>
      <c r="T13" s="13">
        <f t="shared" si="17"/>
        <v>4.4962087449240302E-2</v>
      </c>
      <c r="U13" s="13">
        <f t="shared" si="18"/>
        <v>22230.140522662408</v>
      </c>
      <c r="V13" s="14">
        <f t="shared" si="19"/>
        <v>47458.080341787361</v>
      </c>
      <c r="W13" s="14">
        <f t="shared" si="20"/>
        <v>63616.72968068011</v>
      </c>
      <c r="X13" s="14">
        <f t="shared" si="21"/>
        <v>3532.4967675304579</v>
      </c>
      <c r="Y13" s="15">
        <f t="shared" si="22"/>
        <v>0.56226475868660675</v>
      </c>
      <c r="Z13" s="14">
        <f t="shared" si="23"/>
        <v>10109.063041178968</v>
      </c>
      <c r="AA13" s="13">
        <f t="shared" si="24"/>
        <v>2.1353950132289925</v>
      </c>
      <c r="AC13">
        <f t="shared" si="25"/>
        <v>5663.0429969978541</v>
      </c>
      <c r="AD13">
        <f t="shared" si="26"/>
        <v>7.7646492290547062</v>
      </c>
      <c r="AF13">
        <f t="shared" si="27"/>
        <v>0.64352914686188578</v>
      </c>
      <c r="AG13">
        <f t="shared" si="28"/>
        <v>5279.9874174587376</v>
      </c>
      <c r="AH13">
        <f t="shared" si="29"/>
        <v>7.239438275874539</v>
      </c>
    </row>
    <row r="14" spans="1:34" ht="12" customHeight="1">
      <c r="B14" s="8">
        <f t="shared" si="30"/>
        <v>223.62007309630437</v>
      </c>
      <c r="C14">
        <f t="shared" si="0"/>
        <v>805.03226314669575</v>
      </c>
      <c r="D14">
        <f t="shared" si="1"/>
        <v>9484.0679330984294</v>
      </c>
      <c r="E14">
        <f t="shared" si="2"/>
        <v>0.689577515274439</v>
      </c>
      <c r="F14">
        <f t="shared" si="3"/>
        <v>4.21827774928418E-2</v>
      </c>
      <c r="G14" s="7">
        <f t="shared" si="4"/>
        <v>22021.889578837821</v>
      </c>
      <c r="H14" s="8">
        <f t="shared" si="5"/>
        <v>16.347371042398922</v>
      </c>
      <c r="I14" s="7">
        <f t="shared" si="6"/>
        <v>22021.889578837821</v>
      </c>
      <c r="J14" s="7">
        <f t="shared" si="7"/>
        <v>48309.703627490264</v>
      </c>
      <c r="K14" s="7">
        <f t="shared" si="8"/>
        <v>64758.315854544591</v>
      </c>
      <c r="L14" s="10">
        <f t="shared" si="9"/>
        <v>0.75405508718976533</v>
      </c>
      <c r="M14">
        <f t="shared" si="10"/>
        <v>25762.637290192866</v>
      </c>
      <c r="N14">
        <f t="shared" si="11"/>
        <v>0.24771766625185448</v>
      </c>
      <c r="O14">
        <f t="shared" si="12"/>
        <v>75758.485524675096</v>
      </c>
      <c r="P14" s="7">
        <f t="shared" si="13"/>
        <v>3740.7477113550449</v>
      </c>
      <c r="Q14" s="8">
        <f t="shared" si="14"/>
        <v>0.5954130590586455</v>
      </c>
      <c r="R14" s="7">
        <f t="shared" si="15"/>
        <v>11000.169670130505</v>
      </c>
      <c r="S14">
        <f t="shared" si="16"/>
        <v>2.3236285462445792</v>
      </c>
      <c r="T14" s="13">
        <f t="shared" si="17"/>
        <v>4.2182777492841807E-2</v>
      </c>
      <c r="U14" s="13">
        <f t="shared" si="18"/>
        <v>22021.889578837821</v>
      </c>
      <c r="V14" s="14">
        <f t="shared" si="19"/>
        <v>48309.703627490264</v>
      </c>
      <c r="W14" s="14">
        <f t="shared" si="20"/>
        <v>64758.315854544591</v>
      </c>
      <c r="X14" s="14">
        <f t="shared" si="21"/>
        <v>3740.7477113550449</v>
      </c>
      <c r="Y14" s="15">
        <f t="shared" si="22"/>
        <v>0.5954130590586455</v>
      </c>
      <c r="Z14" s="14">
        <f t="shared" si="23"/>
        <v>11000.169670130505</v>
      </c>
      <c r="AA14" s="13">
        <f t="shared" si="24"/>
        <v>2.3236285462445792</v>
      </c>
      <c r="AC14">
        <f t="shared" si="25"/>
        <v>5874.2079893523996</v>
      </c>
      <c r="AD14">
        <f t="shared" si="26"/>
        <v>7.8380759676925837</v>
      </c>
      <c r="AF14">
        <f t="shared" si="27"/>
        <v>0.6516220348759062</v>
      </c>
      <c r="AG14">
        <f t="shared" si="28"/>
        <v>5408.8483890552361</v>
      </c>
      <c r="AH14">
        <f t="shared" si="29"/>
        <v>7.2171371269100071</v>
      </c>
    </row>
    <row r="15" spans="1:34" ht="12" customHeight="1">
      <c r="B15" s="8">
        <f t="shared" si="30"/>
        <v>229.62007309630437</v>
      </c>
      <c r="C15">
        <f t="shared" si="0"/>
        <v>826.63226314669578</v>
      </c>
      <c r="D15">
        <f t="shared" si="1"/>
        <v>9999.8339304788333</v>
      </c>
      <c r="E15">
        <f t="shared" si="2"/>
        <v>0.65401086112705464</v>
      </c>
      <c r="F15">
        <f t="shared" si="3"/>
        <v>3.9752537041812058E-2</v>
      </c>
      <c r="G15" s="7">
        <f t="shared" si="4"/>
        <v>21881.767086238287</v>
      </c>
      <c r="H15" s="8">
        <f t="shared" si="5"/>
        <v>16.452053373075547</v>
      </c>
      <c r="I15" s="7">
        <f t="shared" si="6"/>
        <v>21881.76708623828</v>
      </c>
      <c r="J15" s="7">
        <f t="shared" si="7"/>
        <v>49290.275916197941</v>
      </c>
      <c r="K15" s="7">
        <f t="shared" si="8"/>
        <v>66072.755919836389</v>
      </c>
      <c r="L15" s="10">
        <f t="shared" si="9"/>
        <v>0.7742873072248162</v>
      </c>
      <c r="M15">
        <f t="shared" si="10"/>
        <v>25762.637290192866</v>
      </c>
      <c r="N15">
        <f t="shared" si="11"/>
        <v>0.24771766625185448</v>
      </c>
      <c r="O15">
        <f t="shared" si="12"/>
        <v>77791.178327491129</v>
      </c>
      <c r="P15" s="7">
        <f t="shared" si="13"/>
        <v>3880.8702039545788</v>
      </c>
      <c r="Q15" s="8">
        <f t="shared" si="14"/>
        <v>0.61771713894300295</v>
      </c>
      <c r="R15" s="7">
        <f t="shared" si="15"/>
        <v>11718.42240765474</v>
      </c>
      <c r="S15">
        <f t="shared" si="16"/>
        <v>2.4753491664147798</v>
      </c>
      <c r="T15" s="13">
        <f t="shared" si="17"/>
        <v>3.9752537041812051E-2</v>
      </c>
      <c r="U15" s="13">
        <f t="shared" si="18"/>
        <v>21881.76708623828</v>
      </c>
      <c r="V15" s="14">
        <f t="shared" si="19"/>
        <v>49290.275916197927</v>
      </c>
      <c r="W15" s="14">
        <f t="shared" si="20"/>
        <v>66072.75591983636</v>
      </c>
      <c r="X15" s="14">
        <f t="shared" si="21"/>
        <v>3880.870203954586</v>
      </c>
      <c r="Y15" s="15">
        <f t="shared" si="22"/>
        <v>0.61771713894300406</v>
      </c>
      <c r="Z15" s="14">
        <f t="shared" si="23"/>
        <v>11718.422407654769</v>
      </c>
      <c r="AA15" s="13">
        <f t="shared" si="24"/>
        <v>2.4753491664147855</v>
      </c>
      <c r="AC15">
        <f t="shared" si="25"/>
        <v>6070.4456489571721</v>
      </c>
      <c r="AD15">
        <f t="shared" si="26"/>
        <v>7.8882680174228081</v>
      </c>
      <c r="AF15">
        <f t="shared" si="27"/>
        <v>0.6597149228899265</v>
      </c>
      <c r="AG15">
        <f t="shared" si="28"/>
        <v>5520.9716545733127</v>
      </c>
      <c r="AH15">
        <f t="shared" si="29"/>
        <v>7.1742515535659326</v>
      </c>
    </row>
    <row r="16" spans="1:34" ht="12" customHeight="1">
      <c r="B16" s="8">
        <f t="shared" si="30"/>
        <v>235.62007309630437</v>
      </c>
      <c r="C16">
        <f t="shared" si="0"/>
        <v>848.23226314669569</v>
      </c>
      <c r="D16">
        <f t="shared" si="1"/>
        <v>10529.255364211371</v>
      </c>
      <c r="E16">
        <f t="shared" si="2"/>
        <v>0.62112654444959781</v>
      </c>
      <c r="F16">
        <f t="shared" si="3"/>
        <v>3.7620052935058629E-2</v>
      </c>
      <c r="G16" s="7">
        <f t="shared" si="4"/>
        <v>21804.28316523202</v>
      </c>
      <c r="H16" s="8">
        <f t="shared" si="5"/>
        <v>16.510517556203695</v>
      </c>
      <c r="I16" s="7">
        <f t="shared" si="6"/>
        <v>21804.283165232024</v>
      </c>
      <c r="J16" s="7">
        <f t="shared" si="7"/>
        <v>50399.137841336022</v>
      </c>
      <c r="K16" s="7">
        <f t="shared" si="8"/>
        <v>67559.166007152846</v>
      </c>
      <c r="L16" s="10">
        <f t="shared" si="9"/>
        <v>0.79451952725986708</v>
      </c>
      <c r="M16">
        <f t="shared" si="10"/>
        <v>25762.637290192866</v>
      </c>
      <c r="N16">
        <f t="shared" si="11"/>
        <v>0.24771766625185448</v>
      </c>
      <c r="O16">
        <f t="shared" si="12"/>
        <v>79823.871130307147</v>
      </c>
      <c r="P16" s="7">
        <f t="shared" si="13"/>
        <v>3958.3541249608461</v>
      </c>
      <c r="Q16" s="8">
        <f t="shared" si="14"/>
        <v>0.63005072745449275</v>
      </c>
      <c r="R16" s="7">
        <f t="shared" si="15"/>
        <v>12264.705123154301</v>
      </c>
      <c r="S16">
        <f t="shared" si="16"/>
        <v>2.5907435785120367</v>
      </c>
      <c r="T16" s="13">
        <f t="shared" si="17"/>
        <v>3.7620052935058629E-2</v>
      </c>
      <c r="U16" s="13">
        <f t="shared" si="18"/>
        <v>21804.283165232024</v>
      </c>
      <c r="V16" s="14">
        <f t="shared" si="19"/>
        <v>50399.137841336036</v>
      </c>
      <c r="W16" s="14">
        <f t="shared" si="20"/>
        <v>67559.16600715286</v>
      </c>
      <c r="X16" s="14">
        <f t="shared" si="21"/>
        <v>3958.3541249608425</v>
      </c>
      <c r="Y16" s="15">
        <f t="shared" si="22"/>
        <v>0.6300507274544922</v>
      </c>
      <c r="Z16" s="14">
        <f t="shared" si="23"/>
        <v>12264.705123154286</v>
      </c>
      <c r="AA16" s="13">
        <f t="shared" si="24"/>
        <v>2.5907435785120336</v>
      </c>
      <c r="AC16">
        <f t="shared" si="25"/>
        <v>6251.202796384292</v>
      </c>
      <c r="AD16">
        <f t="shared" si="26"/>
        <v>7.9162998463669858</v>
      </c>
      <c r="AF16">
        <f t="shared" si="27"/>
        <v>0.66780781090394692</v>
      </c>
      <c r="AG16">
        <f t="shared" si="28"/>
        <v>5616.4687153832265</v>
      </c>
      <c r="AH16">
        <f t="shared" si="29"/>
        <v>7.1124952872157525</v>
      </c>
    </row>
    <row r="17" spans="1:34" ht="12" customHeight="1">
      <c r="B17" s="8">
        <f t="shared" si="30"/>
        <v>241.62007309630437</v>
      </c>
      <c r="C17">
        <f t="shared" si="0"/>
        <v>869.83226314669571</v>
      </c>
      <c r="D17">
        <f t="shared" si="1"/>
        <v>11072.33223429604</v>
      </c>
      <c r="E17">
        <f t="shared" si="2"/>
        <v>0.59066146694394239</v>
      </c>
      <c r="F17">
        <f t="shared" si="3"/>
        <v>3.5742600537326676E-2</v>
      </c>
      <c r="G17" s="7">
        <f t="shared" si="4"/>
        <v>21784.620994514262</v>
      </c>
      <c r="H17" s="8">
        <f t="shared" si="5"/>
        <v>16.525419473244636</v>
      </c>
      <c r="I17" s="7">
        <f t="shared" si="6"/>
        <v>21784.620994514269</v>
      </c>
      <c r="J17" s="7">
        <f t="shared" si="7"/>
        <v>51635.932844454968</v>
      </c>
      <c r="K17" s="7">
        <f t="shared" si="8"/>
        <v>69217.068156105859</v>
      </c>
      <c r="L17" s="10">
        <f t="shared" si="9"/>
        <v>0.81475174729491795</v>
      </c>
      <c r="M17">
        <f t="shared" si="10"/>
        <v>25762.637290192866</v>
      </c>
      <c r="N17">
        <f t="shared" si="11"/>
        <v>0.24771766625185448</v>
      </c>
      <c r="O17">
        <f t="shared" si="12"/>
        <v>81856.563933123165</v>
      </c>
      <c r="P17" s="7">
        <f t="shared" si="13"/>
        <v>3978.0162956786044</v>
      </c>
      <c r="Q17" s="8">
        <f t="shared" si="14"/>
        <v>0.63318047976682046</v>
      </c>
      <c r="R17" s="7">
        <f t="shared" si="15"/>
        <v>12639.495777017306</v>
      </c>
      <c r="S17">
        <f t="shared" si="16"/>
        <v>2.6699127448337614</v>
      </c>
      <c r="T17" s="13">
        <f t="shared" si="17"/>
        <v>3.5742600537326683E-2</v>
      </c>
      <c r="U17" s="13">
        <f t="shared" si="18"/>
        <v>21784.620994514269</v>
      </c>
      <c r="V17" s="14">
        <f t="shared" si="19"/>
        <v>51635.932844454983</v>
      </c>
      <c r="W17" s="14">
        <f t="shared" si="20"/>
        <v>69217.068156105874</v>
      </c>
      <c r="X17" s="14">
        <f t="shared" si="21"/>
        <v>3978.0162956785971</v>
      </c>
      <c r="Y17" s="15">
        <f t="shared" si="22"/>
        <v>0.63318047976681935</v>
      </c>
      <c r="Z17" s="14">
        <f t="shared" si="23"/>
        <v>12639.495777017291</v>
      </c>
      <c r="AA17" s="13">
        <f t="shared" si="24"/>
        <v>2.6699127448337578</v>
      </c>
      <c r="AC17">
        <f t="shared" si="25"/>
        <v>6416.1737781141419</v>
      </c>
      <c r="AD17">
        <f t="shared" si="26"/>
        <v>7.9234448703300542</v>
      </c>
      <c r="AF17">
        <f t="shared" si="27"/>
        <v>0.67590069891796722</v>
      </c>
      <c r="AG17">
        <f t="shared" si="28"/>
        <v>5695.6654624434932</v>
      </c>
      <c r="AH17">
        <f t="shared" si="29"/>
        <v>7.0336765886005166</v>
      </c>
    </row>
    <row r="18" spans="1:34" ht="12" customHeight="1">
      <c r="B18" s="8">
        <f t="shared" si="30"/>
        <v>247.62007309630437</v>
      </c>
      <c r="C18">
        <f t="shared" si="0"/>
        <v>891.43226314669573</v>
      </c>
      <c r="D18">
        <f t="shared" si="1"/>
        <v>11629.064540732845</v>
      </c>
      <c r="E18">
        <f t="shared" si="2"/>
        <v>0.56238401438847463</v>
      </c>
      <c r="F18">
        <f t="shared" si="3"/>
        <v>3.4084439461930786E-2</v>
      </c>
      <c r="G18" s="7">
        <f t="shared" si="4"/>
        <v>21818.540165366674</v>
      </c>
      <c r="H18" s="8">
        <f t="shared" si="5"/>
        <v>16.49972900439235</v>
      </c>
      <c r="I18" s="7">
        <f t="shared" si="6"/>
        <v>21818.540165366674</v>
      </c>
      <c r="J18" s="7">
        <f t="shared" si="7"/>
        <v>53000.570489012964</v>
      </c>
      <c r="K18" s="7">
        <f t="shared" si="8"/>
        <v>71046.341138087082</v>
      </c>
      <c r="L18" s="10">
        <f t="shared" si="9"/>
        <v>0.83498396732996882</v>
      </c>
      <c r="M18">
        <f t="shared" si="10"/>
        <v>25762.637290192866</v>
      </c>
      <c r="N18">
        <f t="shared" si="11"/>
        <v>0.24771766625185448</v>
      </c>
      <c r="O18">
        <f t="shared" si="12"/>
        <v>83889.256735939183</v>
      </c>
      <c r="P18" s="7">
        <f t="shared" si="13"/>
        <v>3944.0971248261922</v>
      </c>
      <c r="Q18" s="8">
        <f t="shared" si="14"/>
        <v>0.6277813515726467</v>
      </c>
      <c r="R18" s="7">
        <f t="shared" si="15"/>
        <v>12842.915597852101</v>
      </c>
      <c r="S18">
        <f t="shared" si="16"/>
        <v>2.7128822731899618</v>
      </c>
      <c r="T18" s="13">
        <f t="shared" si="17"/>
        <v>3.6440776328119068E-2</v>
      </c>
      <c r="U18" s="13">
        <f t="shared" si="18"/>
        <v>23326.906779859062</v>
      </c>
      <c r="V18" s="14">
        <f t="shared" si="19"/>
        <v>56664.623650625312</v>
      </c>
      <c r="W18" s="14">
        <f t="shared" si="20"/>
        <v>75957.940550436077</v>
      </c>
      <c r="X18" s="14">
        <f t="shared" si="21"/>
        <v>2435.730510333804</v>
      </c>
      <c r="Y18" s="15">
        <f t="shared" si="22"/>
        <v>0.38769006418968099</v>
      </c>
      <c r="Z18" s="14">
        <f t="shared" si="23"/>
        <v>7931.3161855031067</v>
      </c>
      <c r="AA18" s="13">
        <f t="shared" si="24"/>
        <v>1.6753771305882086</v>
      </c>
      <c r="AC18">
        <f t="shared" si="25"/>
        <v>6140.7555420224762</v>
      </c>
      <c r="AD18">
        <f t="shared" si="26"/>
        <v>7.3995770249359829</v>
      </c>
      <c r="AF18">
        <f t="shared" si="27"/>
        <v>0.68399358693198753</v>
      </c>
      <c r="AG18">
        <f t="shared" si="28"/>
        <v>5386.6781730218872</v>
      </c>
      <c r="AH18">
        <f t="shared" si="29"/>
        <v>6.4909178971630519</v>
      </c>
    </row>
    <row r="19" spans="1:34" ht="12" customHeight="1">
      <c r="B19" s="8">
        <f t="shared" si="30"/>
        <v>253.62007309630437</v>
      </c>
      <c r="C19">
        <f t="shared" si="0"/>
        <v>913.03226314669575</v>
      </c>
      <c r="D19">
        <f t="shared" si="1"/>
        <v>12199.452283521781</v>
      </c>
      <c r="E19">
        <f t="shared" si="2"/>
        <v>0.53608964140413107</v>
      </c>
      <c r="F19">
        <f t="shared" si="3"/>
        <v>3.2615538685231898E-2</v>
      </c>
      <c r="G19" s="7">
        <f t="shared" si="4"/>
        <v>21902.295847257537</v>
      </c>
      <c r="H19" s="8">
        <f t="shared" si="5"/>
        <v>16.43663305940947</v>
      </c>
      <c r="I19" s="7">
        <f t="shared" si="6"/>
        <v>21902.295847257537</v>
      </c>
      <c r="J19" s="7">
        <f t="shared" si="7"/>
        <v>54493.194981569322</v>
      </c>
      <c r="K19" s="7">
        <f t="shared" si="8"/>
        <v>73047.178259476306</v>
      </c>
      <c r="L19" s="10">
        <f t="shared" si="9"/>
        <v>0.8552161873650197</v>
      </c>
      <c r="M19">
        <f t="shared" si="10"/>
        <v>25762.637290192866</v>
      </c>
      <c r="N19">
        <f t="shared" si="11"/>
        <v>0.24771766625185448</v>
      </c>
      <c r="O19">
        <f t="shared" si="12"/>
        <v>85921.949538755202</v>
      </c>
      <c r="P19" s="7">
        <f t="shared" si="13"/>
        <v>3860.3414429353288</v>
      </c>
      <c r="Q19" s="8">
        <f t="shared" si="14"/>
        <v>0.61444945560492392</v>
      </c>
      <c r="R19" s="7">
        <f t="shared" si="15"/>
        <v>12874.771279278895</v>
      </c>
      <c r="S19">
        <f t="shared" si="16"/>
        <v>2.7196113303720852</v>
      </c>
      <c r="T19" s="13">
        <f t="shared" si="17"/>
        <v>4.3934505853314057E-2</v>
      </c>
      <c r="U19" s="13">
        <f t="shared" si="18"/>
        <v>29503.316023354855</v>
      </c>
      <c r="V19" s="14">
        <f t="shared" si="19"/>
        <v>73404.631362645203</v>
      </c>
      <c r="W19" s="14">
        <f t="shared" si="20"/>
        <v>98397.629172446657</v>
      </c>
      <c r="X19" s="14">
        <f t="shared" si="21"/>
        <v>-3740.6787331619889</v>
      </c>
      <c r="Y19" s="15">
        <f t="shared" si="22"/>
        <v>-0.59540207943683221</v>
      </c>
      <c r="Z19" s="14">
        <f t="shared" si="23"/>
        <v>-12475.679633691456</v>
      </c>
      <c r="AA19" s="13">
        <f t="shared" si="24"/>
        <v>-2.6353089270398193</v>
      </c>
      <c r="AC19">
        <f t="shared" si="25"/>
        <v>4972.8562737159709</v>
      </c>
      <c r="AD19">
        <f t="shared" si="26"/>
        <v>5.8505031547786297</v>
      </c>
      <c r="AF19">
        <f t="shared" si="27"/>
        <v>0.69208647494600795</v>
      </c>
      <c r="AG19">
        <f t="shared" si="28"/>
        <v>4311.1863506108139</v>
      </c>
      <c r="AH19">
        <f t="shared" si="29"/>
        <v>5.0720567731670068</v>
      </c>
    </row>
    <row r="20" spans="1:34" ht="12" customHeight="1">
      <c r="B20" s="8">
        <f t="shared" si="30"/>
        <v>259.6200730963044</v>
      </c>
      <c r="C20">
        <f t="shared" si="0"/>
        <v>934.63226314669589</v>
      </c>
      <c r="D20">
        <f t="shared" si="1"/>
        <v>12783.495462662855</v>
      </c>
      <c r="E20">
        <f t="shared" si="2"/>
        <v>0.51159716206741546</v>
      </c>
      <c r="F20">
        <f t="shared" si="3"/>
        <v>3.1310557592445283E-2</v>
      </c>
      <c r="G20" s="7">
        <f t="shared" si="4"/>
        <v>22032.570876135866</v>
      </c>
      <c r="H20" s="8">
        <f t="shared" si="5"/>
        <v>16.339445905966727</v>
      </c>
      <c r="I20" s="7">
        <f t="shared" si="6"/>
        <v>22032.570876135869</v>
      </c>
      <c r="J20" s="7">
        <f t="shared" si="7"/>
        <v>56114.158057960252</v>
      </c>
      <c r="K20" s="7">
        <f t="shared" si="8"/>
        <v>75220.051016032507</v>
      </c>
      <c r="L20" s="19">
        <f t="shared" si="9"/>
        <v>0.87544840740007068</v>
      </c>
      <c r="M20">
        <f t="shared" si="10"/>
        <v>25762.637290192866</v>
      </c>
      <c r="N20">
        <f t="shared" si="11"/>
        <v>0.24771766625185448</v>
      </c>
      <c r="O20">
        <f t="shared" si="12"/>
        <v>87954.642341571234</v>
      </c>
      <c r="P20" s="7">
        <f t="shared" si="13"/>
        <v>3730.0664140570007</v>
      </c>
      <c r="Q20" s="8">
        <f t="shared" si="14"/>
        <v>0.59371286104437893</v>
      </c>
      <c r="R20" s="7">
        <f t="shared" si="15"/>
        <v>12734.591325538728</v>
      </c>
      <c r="S20">
        <f t="shared" si="16"/>
        <v>2.6900003196431901</v>
      </c>
      <c r="T20" s="13">
        <f t="shared" si="17"/>
        <v>5.0704572749627412E-2</v>
      </c>
      <c r="U20" s="13">
        <f t="shared" si="18"/>
        <v>35679.725266850677</v>
      </c>
      <c r="V20" s="14">
        <f t="shared" si="19"/>
        <v>90871.725970809508</v>
      </c>
      <c r="W20" s="14">
        <f t="shared" si="20"/>
        <v>121811.96510832374</v>
      </c>
      <c r="X20" s="14">
        <f t="shared" si="21"/>
        <v>-9917.0879766578109</v>
      </c>
      <c r="Y20" s="15">
        <f t="shared" si="22"/>
        <v>-1.5786695448608763</v>
      </c>
      <c r="Z20" s="16">
        <f t="shared" si="23"/>
        <v>-33857.322766752506</v>
      </c>
      <c r="AA20" s="13">
        <f t="shared" si="24"/>
        <v>-7.1518752927843945</v>
      </c>
      <c r="AC20">
        <f t="shared" si="25"/>
        <v>4209.3000199529142</v>
      </c>
      <c r="AD20">
        <f t="shared" si="26"/>
        <v>4.8377402622950205</v>
      </c>
      <c r="AF20">
        <f t="shared" si="27"/>
        <v>0.70017936296002836</v>
      </c>
      <c r="AG20">
        <f t="shared" si="28"/>
        <v>3607.0472018695132</v>
      </c>
      <c r="AH20">
        <f t="shared" si="29"/>
        <v>4.1455722789457843</v>
      </c>
    </row>
    <row r="21" spans="1:34" ht="12" customHeight="1">
      <c r="B21" s="8">
        <f t="shared" si="30"/>
        <v>265.6200730963044</v>
      </c>
      <c r="C21">
        <f t="shared" si="0"/>
        <v>956.2322631466958</v>
      </c>
      <c r="D21">
        <f t="shared" si="1"/>
        <v>13381.194078156061</v>
      </c>
      <c r="E21">
        <f t="shared" si="2"/>
        <v>0.48874562029379193</v>
      </c>
      <c r="F21">
        <f t="shared" si="3"/>
        <v>3.0148027120466537E-2</v>
      </c>
      <c r="G21" s="7">
        <f t="shared" si="4"/>
        <v>22206.418457200463</v>
      </c>
      <c r="H21" s="8">
        <f t="shared" si="5"/>
        <v>16.211529143875492</v>
      </c>
      <c r="I21" s="7">
        <f t="shared" si="6"/>
        <v>22206.418457200467</v>
      </c>
      <c r="J21" s="7">
        <f t="shared" si="7"/>
        <v>57863.995544263445</v>
      </c>
      <c r="K21" s="7">
        <f t="shared" si="8"/>
        <v>77565.677673275393</v>
      </c>
      <c r="L21" s="19">
        <f t="shared" si="9"/>
        <v>0.89568062743512156</v>
      </c>
      <c r="M21">
        <f t="shared" si="10"/>
        <v>25762.637290192866</v>
      </c>
      <c r="N21">
        <f t="shared" si="11"/>
        <v>0.24771766625185448</v>
      </c>
      <c r="O21">
        <f t="shared" si="12"/>
        <v>89987.335144387253</v>
      </c>
      <c r="P21" s="7">
        <f t="shared" si="13"/>
        <v>3556.2188329924029</v>
      </c>
      <c r="Q21" s="8">
        <f t="shared" si="14"/>
        <v>0.566040703783945</v>
      </c>
      <c r="R21" s="7">
        <f t="shared" si="15"/>
        <v>12421.657471111859</v>
      </c>
      <c r="S21">
        <f t="shared" si="16"/>
        <v>2.6238975176830461</v>
      </c>
      <c r="T21" s="13">
        <f t="shared" si="17"/>
        <v>5.6825006734332439E-2</v>
      </c>
      <c r="U21" s="13">
        <f t="shared" si="18"/>
        <v>41856.13451034647</v>
      </c>
      <c r="V21" s="14">
        <f t="shared" si="19"/>
        <v>109065.90747511806</v>
      </c>
      <c r="W21" s="14">
        <f t="shared" si="20"/>
        <v>146200.94835806711</v>
      </c>
      <c r="X21" s="14">
        <f t="shared" si="21"/>
        <v>-16093.497220153604</v>
      </c>
      <c r="Y21" s="15">
        <f t="shared" si="22"/>
        <v>-2.5624022684897625</v>
      </c>
      <c r="Z21" s="16">
        <f t="shared" si="23"/>
        <v>-56213.613213679855</v>
      </c>
      <c r="AA21" s="13">
        <f t="shared" si="24"/>
        <v>-11.874321966645478</v>
      </c>
      <c r="AC21">
        <f t="shared" si="25"/>
        <v>3671.0887942886884</v>
      </c>
      <c r="AD21">
        <f t="shared" si="26"/>
        <v>4.1238696666650139</v>
      </c>
      <c r="AF21">
        <f t="shared" si="27"/>
        <v>0.70827225097404867</v>
      </c>
      <c r="AG21">
        <f t="shared" si="28"/>
        <v>3109.8963337106916</v>
      </c>
      <c r="AH21">
        <f t="shared" si="29"/>
        <v>3.493461443104974</v>
      </c>
    </row>
    <row r="22" spans="1:34" ht="12" customHeight="1">
      <c r="B22" s="8">
        <f t="shared" si="30"/>
        <v>271.6200730963044</v>
      </c>
      <c r="C22">
        <f t="shared" si="0"/>
        <v>977.83226314669582</v>
      </c>
      <c r="D22">
        <f t="shared" si="1"/>
        <v>13992.548130001398</v>
      </c>
      <c r="E22">
        <f t="shared" si="2"/>
        <v>0.46739163869499922</v>
      </c>
      <c r="F22">
        <f t="shared" si="3"/>
        <v>2.9109688274820491E-2</v>
      </c>
      <c r="G22" s="7">
        <f t="shared" si="4"/>
        <v>22421.213627601635</v>
      </c>
      <c r="H22" s="8">
        <f t="shared" si="5"/>
        <v>16.056222735277004</v>
      </c>
      <c r="I22" s="7">
        <f t="shared" si="6"/>
        <v>22421.213627601639</v>
      </c>
      <c r="J22" s="7">
        <f t="shared" si="7"/>
        <v>59743.407024327098</v>
      </c>
      <c r="K22" s="7">
        <f t="shared" si="8"/>
        <v>80084.996011162337</v>
      </c>
      <c r="L22" s="10">
        <f t="shared" si="9"/>
        <v>0.91591284747017243</v>
      </c>
      <c r="M22">
        <f t="shared" si="10"/>
        <v>25762.637290192866</v>
      </c>
      <c r="N22">
        <f t="shared" si="11"/>
        <v>0.24771766625185448</v>
      </c>
      <c r="O22">
        <f t="shared" si="12"/>
        <v>92020.027947203285</v>
      </c>
      <c r="P22" s="7">
        <f t="shared" si="13"/>
        <v>3341.4236625912308</v>
      </c>
      <c r="Q22" s="8">
        <f t="shared" si="14"/>
        <v>0.53185090302404026</v>
      </c>
      <c r="R22" s="7">
        <f t="shared" si="15"/>
        <v>11935.031936040948</v>
      </c>
      <c r="S22">
        <f t="shared" si="16"/>
        <v>2.5211048318854199</v>
      </c>
      <c r="T22" s="13">
        <f t="shared" si="17"/>
        <v>6.2361137043882166E-2</v>
      </c>
      <c r="U22" s="13">
        <f t="shared" si="18"/>
        <v>48032.543753842256</v>
      </c>
      <c r="V22" s="14">
        <f t="shared" si="19"/>
        <v>127987.1758755709</v>
      </c>
      <c r="W22" s="14">
        <f t="shared" si="20"/>
        <v>171564.57892167682</v>
      </c>
      <c r="X22" s="14">
        <f t="shared" si="21"/>
        <v>-22269.906463649389</v>
      </c>
      <c r="Y22" s="15">
        <f t="shared" si="22"/>
        <v>-3.5468914230231037</v>
      </c>
      <c r="Z22" s="14">
        <f t="shared" si="23"/>
        <v>-79544.550974473532</v>
      </c>
      <c r="AA22" s="13">
        <f t="shared" si="24"/>
        <v>-16.802648948623077</v>
      </c>
      <c r="AC22">
        <f t="shared" si="25"/>
        <v>3271.2925901640961</v>
      </c>
      <c r="AD22">
        <f t="shared" si="26"/>
        <v>3.5935894704152753</v>
      </c>
      <c r="AF22">
        <f t="shared" si="27"/>
        <v>0.71636513898806897</v>
      </c>
      <c r="AG22">
        <f t="shared" si="28"/>
        <v>2739.9093664315615</v>
      </c>
      <c r="AH22">
        <f t="shared" si="29"/>
        <v>3.0098528877255646</v>
      </c>
    </row>
    <row r="23" spans="1:34" ht="12" customHeight="1">
      <c r="B23" s="8">
        <f t="shared" si="30"/>
        <v>277.6200730963044</v>
      </c>
      <c r="C23">
        <f t="shared" si="0"/>
        <v>999.43226314669585</v>
      </c>
      <c r="D23">
        <f t="shared" si="1"/>
        <v>14617.557618198869</v>
      </c>
      <c r="E23">
        <f t="shared" si="2"/>
        <v>0.44740716409817294</v>
      </c>
      <c r="F23">
        <f t="shared" si="3"/>
        <v>2.8179955120998003E-2</v>
      </c>
      <c r="G23" s="7">
        <f t="shared" si="4"/>
        <v>22674.61198125394</v>
      </c>
      <c r="H23" s="8">
        <f t="shared" si="5"/>
        <v>15.876787673263259</v>
      </c>
      <c r="I23" s="7">
        <f t="shared" si="6"/>
        <v>22674.611981253944</v>
      </c>
      <c r="J23" s="7">
        <f t="shared" si="7"/>
        <v>61753.238143884038</v>
      </c>
      <c r="K23" s="7">
        <f t="shared" si="8"/>
        <v>82779.139603061718</v>
      </c>
      <c r="L23" s="10">
        <f t="shared" si="9"/>
        <v>0.93614506750522331</v>
      </c>
      <c r="M23">
        <f t="shared" si="10"/>
        <v>25762.637290192866</v>
      </c>
      <c r="N23">
        <f t="shared" si="11"/>
        <v>0.24771766625185448</v>
      </c>
      <c r="O23">
        <f t="shared" si="12"/>
        <v>94052.720750019289</v>
      </c>
      <c r="P23" s="7">
        <f t="shared" si="13"/>
        <v>3088.0253089389262</v>
      </c>
      <c r="Q23" s="8">
        <f t="shared" si="14"/>
        <v>0.49151672272239977</v>
      </c>
      <c r="R23" s="7">
        <f t="shared" si="15"/>
        <v>11273.581146957571</v>
      </c>
      <c r="S23">
        <f t="shared" si="16"/>
        <v>2.3813828110857251</v>
      </c>
      <c r="T23" s="13">
        <f t="shared" si="17"/>
        <v>6.7370760914639352E-2</v>
      </c>
      <c r="U23" s="13">
        <f t="shared" si="18"/>
        <v>54208.952997338049</v>
      </c>
      <c r="V23" s="14">
        <f t="shared" si="19"/>
        <v>147635.53117216809</v>
      </c>
      <c r="W23" s="14">
        <f t="shared" si="20"/>
        <v>197902.85679915294</v>
      </c>
      <c r="X23" s="14">
        <f t="shared" si="21"/>
        <v>-28446.315707145182</v>
      </c>
      <c r="Y23" s="15">
        <f t="shared" si="22"/>
        <v>-4.5324301978334898</v>
      </c>
      <c r="Z23" s="14">
        <f t="shared" si="23"/>
        <v>-103850.13604913365</v>
      </c>
      <c r="AA23" s="13">
        <f t="shared" si="24"/>
        <v>-21.936856238717208</v>
      </c>
      <c r="AC23">
        <f t="shared" si="25"/>
        <v>2962.5996018050218</v>
      </c>
      <c r="AD23">
        <f t="shared" si="26"/>
        <v>3.1841464172817457</v>
      </c>
      <c r="AF23">
        <f t="shared" si="27"/>
        <v>0.72445802700208939</v>
      </c>
      <c r="AG23">
        <f t="shared" si="28"/>
        <v>2453.6407836335375</v>
      </c>
      <c r="AH23">
        <f t="shared" si="29"/>
        <v>2.6371270372624882</v>
      </c>
    </row>
    <row r="24" spans="1:34" ht="12" customHeight="1">
      <c r="B24" s="8">
        <f t="shared" si="30"/>
        <v>283.6200730963044</v>
      </c>
      <c r="C24">
        <f t="shared" si="0"/>
        <v>1021.0322631466959</v>
      </c>
      <c r="D24">
        <f t="shared" si="1"/>
        <v>15256.222542748475</v>
      </c>
      <c r="E24">
        <f t="shared" si="2"/>
        <v>0.42867754332205688</v>
      </c>
      <c r="F24">
        <f t="shared" si="3"/>
        <v>2.7345476760363252E-2</v>
      </c>
      <c r="G24" s="7">
        <f t="shared" si="4"/>
        <v>22964.514440017894</v>
      </c>
      <c r="H24" s="8">
        <f t="shared" si="5"/>
        <v>15.676360192169581</v>
      </c>
      <c r="I24" s="7">
        <f t="shared" si="6"/>
        <v>22964.514440017894</v>
      </c>
      <c r="J24" s="7">
        <f t="shared" si="7"/>
        <v>63894.46516081132</v>
      </c>
      <c r="K24" s="7">
        <f t="shared" si="8"/>
        <v>85649.417105645203</v>
      </c>
      <c r="L24" s="10">
        <f t="shared" si="9"/>
        <v>0.95637728754027418</v>
      </c>
      <c r="M24">
        <f t="shared" si="10"/>
        <v>25762.637290192866</v>
      </c>
      <c r="N24">
        <f t="shared" si="11"/>
        <v>0.24771766625185448</v>
      </c>
      <c r="O24">
        <f t="shared" si="12"/>
        <v>96085.413552835322</v>
      </c>
      <c r="P24" s="7">
        <f t="shared" si="13"/>
        <v>2798.122850174972</v>
      </c>
      <c r="Q24" s="8">
        <f t="shared" si="14"/>
        <v>0.44537237142404168</v>
      </c>
      <c r="R24" s="7">
        <f t="shared" si="15"/>
        <v>10435.996447190118</v>
      </c>
      <c r="S24">
        <f t="shared" si="16"/>
        <v>2.2044550202751805</v>
      </c>
      <c r="T24" s="13">
        <f t="shared" si="17"/>
        <v>7.1905135383369859E-2</v>
      </c>
      <c r="U24" s="13">
        <f t="shared" si="18"/>
        <v>60385.362240833841</v>
      </c>
      <c r="V24" s="14">
        <f t="shared" si="19"/>
        <v>168010.97336490965</v>
      </c>
      <c r="W24" s="14">
        <f t="shared" si="20"/>
        <v>225215.78199049551</v>
      </c>
      <c r="X24" s="14">
        <f t="shared" si="21"/>
        <v>-34622.724950640972</v>
      </c>
      <c r="Y24" s="15">
        <f t="shared" si="22"/>
        <v>-5.5193145943425952</v>
      </c>
      <c r="Z24" s="14">
        <f t="shared" si="23"/>
        <v>-129130.36843766019</v>
      </c>
      <c r="AA24" s="13">
        <f t="shared" si="24"/>
        <v>-27.276943836927877</v>
      </c>
      <c r="AC24">
        <f t="shared" si="25"/>
        <v>2717.0548386432793</v>
      </c>
      <c r="AD24">
        <f t="shared" si="26"/>
        <v>2.8584616712681821</v>
      </c>
      <c r="AF24">
        <f t="shared" si="27"/>
        <v>0.73255091501610969</v>
      </c>
      <c r="AG24">
        <f t="shared" si="28"/>
        <v>2225.4192435895275</v>
      </c>
      <c r="AH24">
        <f t="shared" si="29"/>
        <v>2.3412393153903746</v>
      </c>
    </row>
    <row r="25" spans="1:34" ht="12" customHeight="1">
      <c r="B25" s="8">
        <f t="shared" si="30"/>
        <v>289.6200730963044</v>
      </c>
      <c r="C25">
        <f t="shared" si="0"/>
        <v>1042.6322631466958</v>
      </c>
      <c r="D25">
        <f t="shared" si="1"/>
        <v>15908.542903650212</v>
      </c>
      <c r="E25">
        <f t="shared" si="2"/>
        <v>0.41109987505514395</v>
      </c>
      <c r="F25">
        <f t="shared" si="3"/>
        <v>2.6594778426805087E-2</v>
      </c>
      <c r="G25" s="7">
        <f t="shared" si="4"/>
        <v>23289.037079774302</v>
      </c>
      <c r="H25" s="8">
        <f t="shared" si="5"/>
        <v>15.457916906004117</v>
      </c>
      <c r="I25" s="7">
        <f t="shared" si="6"/>
        <v>23289.037079774305</v>
      </c>
      <c r="J25" s="7">
        <f t="shared" si="7"/>
        <v>66168.181415804283</v>
      </c>
      <c r="K25" s="7">
        <f t="shared" si="8"/>
        <v>88697.294123062049</v>
      </c>
      <c r="L25" s="18">
        <f t="shared" si="9"/>
        <v>0.97660950757532505</v>
      </c>
      <c r="M25">
        <f t="shared" si="10"/>
        <v>25762.637290192866</v>
      </c>
      <c r="N25">
        <f t="shared" si="11"/>
        <v>0.24771766625185448</v>
      </c>
      <c r="O25">
        <f t="shared" si="12"/>
        <v>98118.106355651355</v>
      </c>
      <c r="P25" s="7">
        <f t="shared" si="13"/>
        <v>2473.6002104185645</v>
      </c>
      <c r="Q25" s="8">
        <f t="shared" si="14"/>
        <v>0.39371779824539088</v>
      </c>
      <c r="R25" s="17">
        <f t="shared" si="15"/>
        <v>9420.8122325893055</v>
      </c>
      <c r="S25">
        <f t="shared" si="16"/>
        <v>1.990011871534608</v>
      </c>
      <c r="T25" s="13">
        <f t="shared" si="17"/>
        <v>7.6009822057380452E-2</v>
      </c>
      <c r="U25" s="13">
        <f t="shared" si="18"/>
        <v>66561.771484329627</v>
      </c>
      <c r="V25" s="14">
        <f t="shared" si="19"/>
        <v>189113.50245379549</v>
      </c>
      <c r="W25" s="14">
        <f t="shared" si="20"/>
        <v>253503.35449570441</v>
      </c>
      <c r="X25" s="14">
        <f t="shared" si="21"/>
        <v>-40799.134194136757</v>
      </c>
      <c r="Y25" s="15">
        <f t="shared" si="22"/>
        <v>-6.507844242460517</v>
      </c>
      <c r="Z25" s="14">
        <f t="shared" si="23"/>
        <v>-155385.24814005307</v>
      </c>
      <c r="AA25" s="13">
        <f t="shared" si="24"/>
        <v>-32.822911743255062</v>
      </c>
      <c r="AC25">
        <f t="shared" si="25"/>
        <v>2517.0793237471485</v>
      </c>
      <c r="AD25">
        <f t="shared" si="26"/>
        <v>2.5932188945978574</v>
      </c>
      <c r="AF25">
        <f t="shared" si="27"/>
        <v>0.74064380303013011</v>
      </c>
      <c r="AG25">
        <f t="shared" si="28"/>
        <v>2039.1011010549837</v>
      </c>
      <c r="AH25">
        <f t="shared" si="29"/>
        <v>2.1007822254004838</v>
      </c>
    </row>
    <row r="26" spans="1:34" ht="12" customHeight="1">
      <c r="B26" s="8">
        <f t="shared" si="30"/>
        <v>295.6200730963044</v>
      </c>
      <c r="C26">
        <f t="shared" si="0"/>
        <v>1064.2322631466959</v>
      </c>
      <c r="D26">
        <f t="shared" si="1"/>
        <v>16574.518700904082</v>
      </c>
      <c r="E26">
        <f t="shared" si="2"/>
        <v>0.39458159346993671</v>
      </c>
      <c r="F26">
        <f t="shared" si="3"/>
        <v>2.5917966138443282E-2</v>
      </c>
      <c r="G26" s="7">
        <f t="shared" si="4"/>
        <v>23646.485199139097</v>
      </c>
      <c r="H26" s="8">
        <f t="shared" si="5"/>
        <v>15.224249903030261</v>
      </c>
      <c r="I26" s="7">
        <f t="shared" si="6"/>
        <v>23646.485199139104</v>
      </c>
      <c r="J26" s="7">
        <f t="shared" si="7"/>
        <v>68575.585450624174</v>
      </c>
      <c r="K26" s="7">
        <f t="shared" si="8"/>
        <v>91924.37727965707</v>
      </c>
      <c r="L26" s="18">
        <f t="shared" si="9"/>
        <v>0.99684172761037593</v>
      </c>
      <c r="M26">
        <f t="shared" si="10"/>
        <v>25762.637290192866</v>
      </c>
      <c r="N26">
        <f t="shared" si="11"/>
        <v>0.24771766625185448</v>
      </c>
      <c r="O26">
        <f t="shared" si="12"/>
        <v>100150.79915846736</v>
      </c>
      <c r="P26" s="7">
        <f t="shared" si="13"/>
        <v>2116.1520910537693</v>
      </c>
      <c r="Q26" s="8">
        <f t="shared" si="14"/>
        <v>0.33682281423153793</v>
      </c>
      <c r="R26" s="17">
        <f t="shared" si="15"/>
        <v>8226.421878810288</v>
      </c>
      <c r="S26">
        <f t="shared" si="16"/>
        <v>1.7377139884450319</v>
      </c>
      <c r="T26" s="13">
        <f t="shared" si="17"/>
        <v>7.9725409049137788E-2</v>
      </c>
      <c r="U26" s="13">
        <f t="shared" si="18"/>
        <v>72738.180727825413</v>
      </c>
      <c r="V26" s="14">
        <f t="shared" si="19"/>
        <v>210943.11843882565</v>
      </c>
      <c r="W26" s="14">
        <f t="shared" si="20"/>
        <v>282765.57431477972</v>
      </c>
      <c r="X26" s="14">
        <f t="shared" si="21"/>
        <v>-46975.543437632543</v>
      </c>
      <c r="Y26" s="15">
        <f t="shared" si="22"/>
        <v>-7.4983232444675902</v>
      </c>
      <c r="Z26" s="14">
        <f t="shared" si="23"/>
        <v>-182614.77515631236</v>
      </c>
      <c r="AA26" s="13">
        <f t="shared" si="24"/>
        <v>-38.574759957698781</v>
      </c>
      <c r="AC26">
        <f t="shared" si="25"/>
        <v>2351.0648072240442</v>
      </c>
      <c r="AD26">
        <f t="shared" si="26"/>
        <v>2.3730211801274557</v>
      </c>
      <c r="AF26">
        <f t="shared" si="27"/>
        <v>0.74873669104415042</v>
      </c>
      <c r="AG26">
        <f t="shared" si="28"/>
        <v>1884.0253205265265</v>
      </c>
      <c r="AH26">
        <f t="shared" si="29"/>
        <v>1.9016200556311671</v>
      </c>
    </row>
    <row r="27" spans="1:34" ht="12" customHeight="1">
      <c r="B27" s="8">
        <f t="shared" si="30"/>
        <v>301.6200730963044</v>
      </c>
      <c r="C27">
        <f t="shared" si="0"/>
        <v>1085.8322631466958</v>
      </c>
      <c r="D27">
        <f t="shared" si="1"/>
        <v>17254.149934510089</v>
      </c>
      <c r="E27">
        <f t="shared" si="2"/>
        <v>0.37903924706944392</v>
      </c>
      <c r="F27">
        <f t="shared" si="3"/>
        <v>2.5306482641922298E-2</v>
      </c>
      <c r="G27" s="7">
        <f t="shared" si="4"/>
        <v>24035.330962502991</v>
      </c>
      <c r="H27" s="8">
        <f t="shared" si="5"/>
        <v>14.97795060786258</v>
      </c>
      <c r="I27" s="7">
        <f t="shared" si="6"/>
        <v>24035.330962502994</v>
      </c>
      <c r="J27" s="7">
        <f t="shared" si="7"/>
        <v>71117.970544497439</v>
      </c>
      <c r="K27" s="7">
        <f t="shared" si="8"/>
        <v>95332.400193696303</v>
      </c>
      <c r="L27" s="10">
        <f t="shared" si="9"/>
        <v>1.0170739476454269</v>
      </c>
      <c r="M27">
        <f t="shared" si="10"/>
        <v>25762.637290192866</v>
      </c>
      <c r="N27">
        <f t="shared" si="11"/>
        <v>0.24771766625185448</v>
      </c>
      <c r="O27">
        <f t="shared" si="12"/>
        <v>102183.49196128339</v>
      </c>
      <c r="P27" s="7">
        <f t="shared" si="13"/>
        <v>1727.3063276898756</v>
      </c>
      <c r="Q27" s="8">
        <f t="shared" si="14"/>
        <v>0.27493064538375994</v>
      </c>
      <c r="R27" s="7">
        <f t="shared" si="15"/>
        <v>6851.0917675870878</v>
      </c>
      <c r="S27">
        <f t="shared" si="16"/>
        <v>1.4471951689375828</v>
      </c>
      <c r="T27" s="13">
        <f t="shared" si="17"/>
        <v>8.3088129904231964E-2</v>
      </c>
      <c r="U27" s="13">
        <f t="shared" si="18"/>
        <v>78914.589971321257</v>
      </c>
      <c r="V27" s="14">
        <f t="shared" si="19"/>
        <v>233499.82132000028</v>
      </c>
      <c r="W27" s="14">
        <f t="shared" si="20"/>
        <v>313002.44144772156</v>
      </c>
      <c r="X27" s="14">
        <f t="shared" si="21"/>
        <v>-53151.952681128387</v>
      </c>
      <c r="Y27" s="15">
        <f t="shared" si="22"/>
        <v>-8.4910610531288668</v>
      </c>
      <c r="Z27" s="14">
        <f t="shared" si="23"/>
        <v>-210818.94948643818</v>
      </c>
      <c r="AA27" s="13">
        <f t="shared" si="24"/>
        <v>-44.532488480259055</v>
      </c>
      <c r="AC27">
        <f t="shared" si="25"/>
        <v>2211.0372113649232</v>
      </c>
      <c r="AD27">
        <f t="shared" si="26"/>
        <v>2.1872919004432165</v>
      </c>
      <c r="AF27">
        <f t="shared" si="27"/>
        <v>0.75682957905817083</v>
      </c>
      <c r="AG27">
        <f t="shared" si="28"/>
        <v>1752.8679685985001</v>
      </c>
      <c r="AH27">
        <f t="shared" si="29"/>
        <v>1.734043140728065</v>
      </c>
    </row>
    <row r="28" spans="1:34" ht="12" customHeight="1">
      <c r="B28" s="8">
        <f t="shared" si="30"/>
        <v>307.6200730963044</v>
      </c>
      <c r="C28">
        <f t="shared" si="0"/>
        <v>1107.432263146696</v>
      </c>
      <c r="D28">
        <f t="shared" si="1"/>
        <v>17947.436604468228</v>
      </c>
      <c r="E28">
        <f t="shared" si="2"/>
        <v>0.36439744260591445</v>
      </c>
      <c r="F28">
        <f t="shared" si="3"/>
        <v>2.4752904939879524E-2</v>
      </c>
      <c r="G28" s="7">
        <f t="shared" si="4"/>
        <v>24454.194065224743</v>
      </c>
      <c r="H28" s="8">
        <f t="shared" si="5"/>
        <v>14.721401124068956</v>
      </c>
      <c r="I28" s="7">
        <f t="shared" si="6"/>
        <v>24454.194065224747</v>
      </c>
      <c r="J28" s="7">
        <f t="shared" si="7"/>
        <v>73796.715475043922</v>
      </c>
      <c r="K28" s="7">
        <f t="shared" si="8"/>
        <v>98923.21109255217</v>
      </c>
      <c r="L28" s="10">
        <f t="shared" si="9"/>
        <v>1.0373061676804778</v>
      </c>
      <c r="M28">
        <f t="shared" si="10"/>
        <v>25762.637290192866</v>
      </c>
      <c r="N28">
        <f t="shared" si="11"/>
        <v>0.24771766625185448</v>
      </c>
      <c r="O28">
        <f t="shared" si="12"/>
        <v>104216.18476409941</v>
      </c>
      <c r="P28" s="7">
        <f t="shared" si="13"/>
        <v>1308.4432249681231</v>
      </c>
      <c r="Q28" s="8">
        <f t="shared" si="14"/>
        <v>0.20826100516584381</v>
      </c>
      <c r="R28" s="7">
        <f t="shared" si="15"/>
        <v>5292.9736715472391</v>
      </c>
      <c r="S28">
        <f t="shared" si="16"/>
        <v>1.1180650014084947</v>
      </c>
      <c r="T28" s="13">
        <f t="shared" si="17"/>
        <v>8.6130395840725585E-2</v>
      </c>
      <c r="U28" s="13">
        <f t="shared" si="18"/>
        <v>85090.999214817042</v>
      </c>
      <c r="V28" s="14">
        <f t="shared" si="19"/>
        <v>256783.61109731911</v>
      </c>
      <c r="W28" s="14">
        <f t="shared" si="20"/>
        <v>344213.95589452964</v>
      </c>
      <c r="X28" s="14">
        <f t="shared" si="21"/>
        <v>-59328.361924624172</v>
      </c>
      <c r="Y28" s="15">
        <f t="shared" si="22"/>
        <v>-9.4863733913521422</v>
      </c>
      <c r="Z28" s="14">
        <f t="shared" si="23"/>
        <v>-239997.77113043022</v>
      </c>
      <c r="AA28" s="13">
        <f t="shared" si="24"/>
        <v>-50.696097310935826</v>
      </c>
      <c r="AC28">
        <f t="shared" si="25"/>
        <v>2091.337681820441</v>
      </c>
      <c r="AD28">
        <f t="shared" si="26"/>
        <v>2.0285252854453701</v>
      </c>
      <c r="AF28">
        <f t="shared" si="27"/>
        <v>0.76492246707219114</v>
      </c>
      <c r="AG28">
        <f t="shared" si="28"/>
        <v>1640.4311065605555</v>
      </c>
      <c r="AH28">
        <f t="shared" si="29"/>
        <v>1.5911614884654111</v>
      </c>
    </row>
    <row r="29" spans="1:34" ht="12" customHeight="1">
      <c r="B29" s="8">
        <f t="shared" si="30"/>
        <v>313.6200730963044</v>
      </c>
      <c r="C29">
        <f t="shared" si="0"/>
        <v>1129.0322631466959</v>
      </c>
      <c r="D29">
        <f t="shared" si="1"/>
        <v>18654.378710778499</v>
      </c>
      <c r="E29">
        <f t="shared" si="2"/>
        <v>0.35058792905395381</v>
      </c>
      <c r="F29">
        <f t="shared" si="3"/>
        <v>2.4250775676179233E-2</v>
      </c>
      <c r="G29" s="7">
        <f t="shared" si="4"/>
        <v>24901.824962949519</v>
      </c>
      <c r="H29" s="8">
        <f t="shared" si="5"/>
        <v>14.456771764142999</v>
      </c>
      <c r="I29" s="7">
        <f t="shared" si="6"/>
        <v>24901.824962949526</v>
      </c>
      <c r="J29" s="7">
        <f t="shared" si="7"/>
        <v>76613.276339744858</v>
      </c>
      <c r="K29" s="7">
        <f t="shared" si="8"/>
        <v>102698.76184952394</v>
      </c>
      <c r="L29" s="10">
        <f t="shared" si="9"/>
        <v>1.0575383877155287</v>
      </c>
      <c r="M29">
        <f t="shared" si="10"/>
        <v>25762.637290192866</v>
      </c>
      <c r="N29">
        <f t="shared" si="11"/>
        <v>0.24771766625185448</v>
      </c>
      <c r="O29">
        <f t="shared" si="12"/>
        <v>106248.87756691544</v>
      </c>
      <c r="P29" s="7">
        <f t="shared" si="13"/>
        <v>860.81232724334768</v>
      </c>
      <c r="Q29" s="8">
        <f t="shared" si="14"/>
        <v>0.13701275931659071</v>
      </c>
      <c r="R29" s="7">
        <f t="shared" si="15"/>
        <v>3550.115717391498</v>
      </c>
      <c r="S29">
        <f t="shared" si="16"/>
        <v>0.74991118053405181</v>
      </c>
      <c r="T29" s="13">
        <f t="shared" si="17"/>
        <v>8.8881254782003358E-2</v>
      </c>
      <c r="U29" s="13">
        <f t="shared" si="18"/>
        <v>91267.408458312828</v>
      </c>
      <c r="V29" s="14">
        <f t="shared" si="19"/>
        <v>280794.4877707822</v>
      </c>
      <c r="W29" s="14">
        <f t="shared" si="20"/>
        <v>376400.11765520403</v>
      </c>
      <c r="X29" s="14">
        <f t="shared" si="21"/>
        <v>-65504.771168119958</v>
      </c>
      <c r="Y29" s="15">
        <f t="shared" si="22"/>
        <v>-10.484583221344392</v>
      </c>
      <c r="Z29" s="14">
        <f t="shared" si="23"/>
        <v>-270151.24008828856</v>
      </c>
      <c r="AA29" s="13">
        <f t="shared" si="24"/>
        <v>-57.065586449729096</v>
      </c>
      <c r="AC29">
        <f t="shared" si="25"/>
        <v>1987.8391881815269</v>
      </c>
      <c r="AD29">
        <f t="shared" si="26"/>
        <v>1.8912473399516896</v>
      </c>
      <c r="AF29">
        <f t="shared" si="27"/>
        <v>0.77301535508621155</v>
      </c>
      <c r="AG29">
        <f t="shared" si="28"/>
        <v>1542.9234426732676</v>
      </c>
      <c r="AH29">
        <f t="shared" si="29"/>
        <v>1.4679506642458087</v>
      </c>
    </row>
    <row r="30" spans="1:34" ht="12" customHeight="1" thickBot="1">
      <c r="B30" s="8">
        <f t="shared" si="30"/>
        <v>319.6200730963044</v>
      </c>
      <c r="C30">
        <f t="shared" si="0"/>
        <v>1150.6322631466958</v>
      </c>
      <c r="D30">
        <f t="shared" si="1"/>
        <v>19374.976253440909</v>
      </c>
      <c r="E30">
        <f t="shared" si="2"/>
        <v>0.33754880080632493</v>
      </c>
      <c r="F30">
        <f t="shared" si="3"/>
        <v>2.3794462203346262E-2</v>
      </c>
      <c r="G30" s="7">
        <f t="shared" si="4"/>
        <v>25377.090283664096</v>
      </c>
      <c r="H30" s="8">
        <f t="shared" si="5"/>
        <v>14.186023534453104</v>
      </c>
      <c r="I30" s="7">
        <f t="shared" si="6"/>
        <v>25377.090283664089</v>
      </c>
      <c r="J30" s="7">
        <f t="shared" si="7"/>
        <v>79569.179298589457</v>
      </c>
      <c r="K30" s="7">
        <f t="shared" si="8"/>
        <v>106661.09825548185</v>
      </c>
      <c r="L30" s="10">
        <f t="shared" si="9"/>
        <v>1.0777706077505795</v>
      </c>
      <c r="M30">
        <f t="shared" si="10"/>
        <v>25762.637290192866</v>
      </c>
      <c r="N30">
        <f t="shared" si="11"/>
        <v>0.24771766625185448</v>
      </c>
      <c r="O30">
        <f t="shared" si="12"/>
        <v>108281.57036973145</v>
      </c>
      <c r="P30" s="7">
        <f t="shared" si="13"/>
        <v>385.54700652877</v>
      </c>
      <c r="Q30" s="8">
        <f t="shared" si="14"/>
        <v>6.1366243603308564E-2</v>
      </c>
      <c r="R30" s="7">
        <f>$O30-$K30</f>
        <v>1620.4721142495982</v>
      </c>
      <c r="S30">
        <f t="shared" si="16"/>
        <v>0.3423015622466305</v>
      </c>
      <c r="T30" s="13">
        <f t="shared" si="17"/>
        <v>9.1366788364543414E-2</v>
      </c>
      <c r="U30" s="13">
        <f t="shared" si="18"/>
        <v>97443.817701808613</v>
      </c>
      <c r="V30" s="14">
        <f t="shared" si="19"/>
        <v>305532.45134038961</v>
      </c>
      <c r="W30" s="14">
        <f t="shared" si="20"/>
        <v>409560.92672974477</v>
      </c>
      <c r="X30" s="14">
        <f t="shared" si="21"/>
        <v>-71681.180411615744</v>
      </c>
      <c r="Y30" s="15">
        <f t="shared" si="22"/>
        <v>-11.486021772004957</v>
      </c>
      <c r="Z30" s="14">
        <f t="shared" si="23"/>
        <v>-301279.35636001331</v>
      </c>
      <c r="AA30" s="13">
        <f t="shared" si="24"/>
        <v>-63.640955896638893</v>
      </c>
      <c r="AC30">
        <f t="shared" si="25"/>
        <v>1897.4610559544667</v>
      </c>
      <c r="AD30">
        <f t="shared" si="26"/>
        <v>1.7713719304315065</v>
      </c>
      <c r="AF30">
        <f t="shared" si="27"/>
        <v>0.78110824310023186</v>
      </c>
      <c r="AG30">
        <f t="shared" si="28"/>
        <v>1457.5145552862778</v>
      </c>
      <c r="AH30">
        <f t="shared" si="29"/>
        <v>1.3606605328354249</v>
      </c>
    </row>
    <row r="31" spans="1:34" s="6" customFormat="1" ht="13.5" thickBot="1">
      <c r="A31" s="5"/>
      <c r="B31" s="6" t="s">
        <v>31</v>
      </c>
      <c r="D31" s="6" t="s">
        <v>32</v>
      </c>
      <c r="G31" s="6" t="s">
        <v>33</v>
      </c>
      <c r="J31" s="6" t="s">
        <v>34</v>
      </c>
      <c r="O31" s="6" t="s">
        <v>35</v>
      </c>
    </row>
    <row r="32" spans="1:34" s="1" customFormat="1" ht="23.85" customHeight="1">
      <c r="A32" s="1" t="s">
        <v>3</v>
      </c>
      <c r="B32" s="1" t="s">
        <v>4</v>
      </c>
      <c r="D32" s="1" t="s">
        <v>8</v>
      </c>
      <c r="E32" s="1" t="s">
        <v>96</v>
      </c>
      <c r="G32" s="1" t="s">
        <v>71</v>
      </c>
      <c r="J32" s="1" t="s">
        <v>13</v>
      </c>
      <c r="K32" s="1" t="s">
        <v>14</v>
      </c>
      <c r="L32" s="1" t="s">
        <v>15</v>
      </c>
      <c r="M32" s="11" t="str">
        <f>SL!M32</f>
        <v>MDD</v>
      </c>
      <c r="N32" s="11"/>
      <c r="O32" s="1" t="s">
        <v>58</v>
      </c>
      <c r="P32" s="1" t="s">
        <v>16</v>
      </c>
      <c r="Q32" s="1" t="s">
        <v>70</v>
      </c>
      <c r="R32" s="1" t="s">
        <v>60</v>
      </c>
      <c r="S32" s="1" t="s">
        <v>94</v>
      </c>
    </row>
    <row r="33" spans="1:20">
      <c r="A33">
        <f>SL!A33</f>
        <v>540</v>
      </c>
      <c r="B33">
        <f>SL!B33</f>
        <v>65</v>
      </c>
      <c r="D33">
        <f>SL!D33</f>
        <v>360000</v>
      </c>
      <c r="E33">
        <f>SL!$E$33</f>
        <v>90000</v>
      </c>
      <c r="G33">
        <v>35000</v>
      </c>
      <c r="J33">
        <f>SL!J33</f>
        <v>1.7999999999999999E-2</v>
      </c>
      <c r="K33">
        <f>SL!K33</f>
        <v>0.8</v>
      </c>
      <c r="L33">
        <f>SL!L33</f>
        <v>1.5</v>
      </c>
      <c r="M33">
        <f>SL!M33</f>
        <v>0.83</v>
      </c>
      <c r="O33">
        <f>SL!O33</f>
        <v>26000</v>
      </c>
      <c r="P33">
        <f>SL!P33</f>
        <v>4</v>
      </c>
      <c r="Q33">
        <f>SL!Q33</f>
        <v>1</v>
      </c>
      <c r="R33">
        <f>SL!R33</f>
        <v>0.8</v>
      </c>
      <c r="S33">
        <f>SL!$S$33</f>
        <v>0.6</v>
      </c>
    </row>
    <row r="34" spans="1:20" s="3" customFormat="1" ht="20.85" customHeight="1">
      <c r="A34" s="3" t="s">
        <v>5</v>
      </c>
      <c r="D34" s="3" t="s">
        <v>9</v>
      </c>
      <c r="E34" s="3" t="s">
        <v>10</v>
      </c>
      <c r="F34" s="3" t="s">
        <v>72</v>
      </c>
      <c r="G34" s="3" t="s">
        <v>6</v>
      </c>
      <c r="H34" s="3" t="s">
        <v>7</v>
      </c>
      <c r="J34" s="3" t="s">
        <v>30</v>
      </c>
      <c r="O34" s="3" t="s">
        <v>59</v>
      </c>
      <c r="Q34" s="3" t="s">
        <v>61</v>
      </c>
      <c r="R34" s="3" t="s">
        <v>62</v>
      </c>
      <c r="T34" s="3" t="s">
        <v>103</v>
      </c>
    </row>
    <row r="35" spans="1:20">
      <c r="A35">
        <f>B33^2/A33</f>
        <v>7.8240740740740744</v>
      </c>
      <c r="D35">
        <f>D33/A33</f>
        <v>666.66666666666663</v>
      </c>
      <c r="E35">
        <f>D35*9.81</f>
        <v>6540</v>
      </c>
      <c r="F35">
        <f>$G$33*0.3048</f>
        <v>10668</v>
      </c>
      <c r="G35">
        <f>288-6.5*$F$35/1000</f>
        <v>218.65800000000002</v>
      </c>
      <c r="H35">
        <f>G35/288</f>
        <v>0.75922916666666673</v>
      </c>
      <c r="J35">
        <f>1/(3.1415*$A$35*$K$33)</f>
        <v>5.0855742037073826E-2</v>
      </c>
      <c r="O35">
        <f>$O$33*$P$33</f>
        <v>104000</v>
      </c>
      <c r="Q35">
        <f>$O$35*$Q$33</f>
        <v>104000</v>
      </c>
      <c r="R35">
        <f>$Q$35*$R$33</f>
        <v>83200</v>
      </c>
      <c r="T35">
        <f>R35*G37</f>
        <v>25762.637290192866</v>
      </c>
    </row>
    <row r="36" spans="1:20" s="3" customFormat="1" ht="20.85" customHeight="1">
      <c r="G36" s="3" t="s">
        <v>11</v>
      </c>
      <c r="H36" s="3" t="s">
        <v>12</v>
      </c>
      <c r="J36" s="3" t="s">
        <v>63</v>
      </c>
      <c r="M36" s="3" t="s">
        <v>86</v>
      </c>
    </row>
    <row r="37" spans="1:20">
      <c r="G37">
        <f>$H$35^4.256</f>
        <v>0.30964708281481812</v>
      </c>
      <c r="H37">
        <f>1.225*$G$37</f>
        <v>0.37931767644815223</v>
      </c>
      <c r="J37">
        <f>340.3*(1-2.255*0.00001*$F$35)^0.5</f>
        <v>296.55667987029733</v>
      </c>
      <c r="M37">
        <f>P57</f>
        <v>21805.421652039608</v>
      </c>
    </row>
    <row r="38" spans="1:20" s="4" customFormat="1" ht="20.100000000000001" customHeight="1"/>
    <row r="39" spans="1:20">
      <c r="A39" t="s">
        <v>21</v>
      </c>
      <c r="B39">
        <f>SQRT(3.1415*$A$35*$K$33/(4*$J$33))</f>
        <v>16.525848004364995</v>
      </c>
      <c r="C39" t="s">
        <v>18</v>
      </c>
      <c r="D39">
        <f>$L$33</f>
        <v>1.5</v>
      </c>
      <c r="E39" t="s">
        <v>22</v>
      </c>
      <c r="F39">
        <f>3.6*SQRT((2/$H$37)*($E$35)*(1/$D39))</f>
        <v>545.83226314669571</v>
      </c>
      <c r="H39" t="s">
        <v>36</v>
      </c>
      <c r="I39">
        <f>$J$33+$J$35*$D39^2</f>
        <v>0.13242541958341611</v>
      </c>
      <c r="K39" t="s">
        <v>26</v>
      </c>
      <c r="L39">
        <f>$D39/$I39</f>
        <v>11.327130430990517</v>
      </c>
      <c r="M39" t="s">
        <v>40</v>
      </c>
      <c r="O39">
        <f>$D$33/$L39</f>
        <v>31782.100700019862</v>
      </c>
      <c r="Q39" t="s">
        <v>46</v>
      </c>
      <c r="R39">
        <f>($O39*$F39*9.81/3.6)/746</f>
        <v>63367.924223814836</v>
      </c>
    </row>
    <row r="40" spans="1:20">
      <c r="C40" t="s">
        <v>17</v>
      </c>
      <c r="D40">
        <f>$D$41*SQRT(3)</f>
        <v>1.0304499017419528</v>
      </c>
      <c r="E40" t="s">
        <v>23</v>
      </c>
      <c r="F40">
        <f>3.6*SQRT((2/$H$37)*($E$35)*(1/$D40))</f>
        <v>658.55399837257562</v>
      </c>
      <c r="H40" t="s">
        <v>37</v>
      </c>
      <c r="I40">
        <f>$J$33+$J$35*$D40^2</f>
        <v>7.2000000000000008E-2</v>
      </c>
      <c r="K40" t="s">
        <v>27</v>
      </c>
      <c r="L40">
        <f>$D40/$I40</f>
        <v>14.311804190860455</v>
      </c>
      <c r="M40" t="s">
        <v>41</v>
      </c>
      <c r="O40">
        <f>$D$33/$L40</f>
        <v>25154.061304856077</v>
      </c>
      <c r="Q40" t="s">
        <v>47</v>
      </c>
      <c r="R40">
        <f>($O40*$F40*9.81/3.6)/746</f>
        <v>60510.00447690289</v>
      </c>
    </row>
    <row r="41" spans="1:20">
      <c r="C41" t="s">
        <v>20</v>
      </c>
      <c r="D41">
        <f>SQRT(3.1415*$A$35*$K$33*$J$33)</f>
        <v>0.59493052815713987</v>
      </c>
      <c r="E41" t="s">
        <v>24</v>
      </c>
      <c r="F41">
        <f>3.6*SQRT((2/$H$37)*($E$35)*(1/$D41))</f>
        <v>866.7058033841048</v>
      </c>
      <c r="H41" t="s">
        <v>39</v>
      </c>
      <c r="I41">
        <f>$J$33+$J$35*$D41^2</f>
        <v>3.6000000000000004E-2</v>
      </c>
      <c r="K41" t="s">
        <v>28</v>
      </c>
      <c r="L41">
        <f>$D41/$I41</f>
        <v>16.525848004364995</v>
      </c>
      <c r="M41" t="s">
        <v>42</v>
      </c>
      <c r="O41">
        <f>$D$33/$L41</f>
        <v>21784.056098356508</v>
      </c>
      <c r="Q41" t="s">
        <v>44</v>
      </c>
      <c r="R41">
        <f>($O41*$F41*9.81/3.6)/746</f>
        <v>68966.491110732662</v>
      </c>
    </row>
    <row r="42" spans="1:20">
      <c r="C42" t="s">
        <v>19</v>
      </c>
      <c r="D42">
        <f>$D$41/SQRT(3)</f>
        <v>0.34348330058065096</v>
      </c>
      <c r="E42" t="s">
        <v>25</v>
      </c>
      <c r="F42">
        <f>3.6*SQRT((2/$H$37)*($E$35)*(1/$D42))</f>
        <v>1140.6489847089326</v>
      </c>
      <c r="H42" t="s">
        <v>38</v>
      </c>
      <c r="I42">
        <f>$J$33+$J$35*$D42^2</f>
        <v>2.4E-2</v>
      </c>
      <c r="K42" t="s">
        <v>29</v>
      </c>
      <c r="L42">
        <f>$D42/$I42</f>
        <v>14.311804190860457</v>
      </c>
      <c r="M42" t="s">
        <v>43</v>
      </c>
      <c r="O42">
        <f>$D$33/$L42</f>
        <v>25154.061304856074</v>
      </c>
      <c r="Q42" t="s">
        <v>45</v>
      </c>
      <c r="R42">
        <f>($O42*$F42*9.81/3.6)/746</f>
        <v>104806.40212021602</v>
      </c>
    </row>
    <row r="44" spans="1:20">
      <c r="A44" t="s">
        <v>54</v>
      </c>
      <c r="B44" t="s">
        <v>49</v>
      </c>
      <c r="C44" t="s">
        <v>50</v>
      </c>
      <c r="E44" t="s">
        <v>50</v>
      </c>
    </row>
    <row r="45" spans="1:20">
      <c r="A45">
        <v>0.1</v>
      </c>
      <c r="B45">
        <v>0</v>
      </c>
      <c r="C45">
        <f>$J$33+$J$35*$B45^2</f>
        <v>1.7999999999999999E-2</v>
      </c>
      <c r="E45">
        <f>$J$33+$J$35*$B45^2</f>
        <v>1.7999999999999999E-2</v>
      </c>
    </row>
    <row r="46" spans="1:20">
      <c r="B46">
        <f>B45+$A$45</f>
        <v>0.1</v>
      </c>
      <c r="C46">
        <f t="shared" ref="C46:E63" si="31">$J$33+$J$35*$B46^2</f>
        <v>1.8508557420370737E-2</v>
      </c>
      <c r="E46">
        <f t="shared" si="31"/>
        <v>1.8508557420370737E-2</v>
      </c>
      <c r="H46" s="9"/>
    </row>
    <row r="47" spans="1:20">
      <c r="B47">
        <f t="shared" ref="B47:B63" si="32">B46+$A$45</f>
        <v>0.2</v>
      </c>
      <c r="C47">
        <f t="shared" si="31"/>
        <v>2.0034229681482951E-2</v>
      </c>
      <c r="E47">
        <f t="shared" si="31"/>
        <v>2.0034229681482951E-2</v>
      </c>
      <c r="H47" s="9"/>
      <c r="J47" t="s">
        <v>74</v>
      </c>
      <c r="K47">
        <f>$R$35/$D$33</f>
        <v>0.2311111111111111</v>
      </c>
    </row>
    <row r="48" spans="1:20">
      <c r="B48">
        <f t="shared" si="32"/>
        <v>0.30000000000000004</v>
      </c>
      <c r="C48">
        <f t="shared" si="31"/>
        <v>2.2577016783336644E-2</v>
      </c>
      <c r="E48">
        <f t="shared" si="31"/>
        <v>2.2577016783336644E-2</v>
      </c>
      <c r="H48" s="9"/>
      <c r="J48" t="s">
        <v>75</v>
      </c>
      <c r="K48">
        <f>(1+SQRT(1-1/(($K$47^2)*($B$39^2))))</f>
        <v>1.9651146612052111</v>
      </c>
    </row>
    <row r="49" spans="2:17">
      <c r="B49">
        <f t="shared" si="32"/>
        <v>0.4</v>
      </c>
      <c r="C49">
        <f t="shared" si="31"/>
        <v>2.613691872593181E-2</v>
      </c>
      <c r="E49">
        <f t="shared" si="31"/>
        <v>2.613691872593181E-2</v>
      </c>
      <c r="H49" s="9"/>
      <c r="J49" t="s">
        <v>76</v>
      </c>
      <c r="K49">
        <f>SQRT(($K$47*$E$35)*$K$48/($H$37*$J$33))</f>
        <v>659.5617194035791</v>
      </c>
      <c r="L49" t="s">
        <v>77</v>
      </c>
      <c r="O49" t="s">
        <v>78</v>
      </c>
      <c r="P49">
        <f>$K$49*3.6</f>
        <v>2374.4221898528849</v>
      </c>
    </row>
    <row r="50" spans="2:17">
      <c r="B50">
        <f t="shared" si="32"/>
        <v>0.5</v>
      </c>
      <c r="C50">
        <f t="shared" si="31"/>
        <v>3.0713935509268455E-2</v>
      </c>
      <c r="E50">
        <f t="shared" si="31"/>
        <v>3.0713935509268455E-2</v>
      </c>
      <c r="H50" s="9"/>
    </row>
    <row r="51" spans="2:17">
      <c r="B51">
        <f t="shared" si="32"/>
        <v>0.6</v>
      </c>
      <c r="C51">
        <f t="shared" si="31"/>
        <v>3.6308067133346576E-2</v>
      </c>
      <c r="E51">
        <f t="shared" si="31"/>
        <v>3.6308067133346576E-2</v>
      </c>
      <c r="O51" t="s">
        <v>79</v>
      </c>
      <c r="P51">
        <f>$K$49/$J$37</f>
        <v>2.224066305611617</v>
      </c>
    </row>
    <row r="52" spans="2:17">
      <c r="B52">
        <f t="shared" si="32"/>
        <v>0.7</v>
      </c>
      <c r="C52">
        <f t="shared" si="31"/>
        <v>4.291931359816617E-2</v>
      </c>
      <c r="E52">
        <f t="shared" si="31"/>
        <v>4.291931359816617E-2</v>
      </c>
    </row>
    <row r="53" spans="2:17">
      <c r="B53">
        <f t="shared" si="32"/>
        <v>0.79999999999999993</v>
      </c>
      <c r="C53">
        <f t="shared" si="31"/>
        <v>5.0547674903727247E-2</v>
      </c>
      <c r="E53">
        <f t="shared" si="31"/>
        <v>5.0547674903727247E-2</v>
      </c>
      <c r="J53" t="s">
        <v>80</v>
      </c>
      <c r="K53">
        <f>$M$33*$J$37</f>
        <v>246.14204429234678</v>
      </c>
      <c r="L53" t="s">
        <v>77</v>
      </c>
      <c r="O53" t="s">
        <v>80</v>
      </c>
      <c r="P53">
        <f>$K$53*3.6</f>
        <v>886.11135945244848</v>
      </c>
      <c r="Q53" t="s">
        <v>81</v>
      </c>
    </row>
    <row r="54" spans="2:17">
      <c r="B54">
        <f t="shared" si="32"/>
        <v>0.89999999999999991</v>
      </c>
      <c r="C54">
        <f t="shared" si="31"/>
        <v>5.9193151050029785E-2</v>
      </c>
      <c r="E54">
        <f t="shared" si="31"/>
        <v>5.9193151050029785E-2</v>
      </c>
      <c r="J54" t="s">
        <v>82</v>
      </c>
      <c r="K54">
        <f>0.5*$H$37*($K$53)^2</f>
        <v>11490.652538722823</v>
      </c>
      <c r="L54" t="s">
        <v>83</v>
      </c>
    </row>
    <row r="55" spans="2:17">
      <c r="B55">
        <f t="shared" si="32"/>
        <v>0.99999999999999989</v>
      </c>
      <c r="C55">
        <f t="shared" si="31"/>
        <v>6.8855742037073814E-2</v>
      </c>
      <c r="E55">
        <f t="shared" si="31"/>
        <v>6.8855742037073814E-2</v>
      </c>
      <c r="J55" t="s">
        <v>84</v>
      </c>
      <c r="K55">
        <f>(D33*9.81)/(K54*A33)</f>
        <v>0.5691582769525565</v>
      </c>
    </row>
    <row r="56" spans="2:17">
      <c r="B56">
        <f t="shared" si="32"/>
        <v>1.0999999999999999</v>
      </c>
      <c r="C56">
        <f t="shared" si="31"/>
        <v>7.9535447864859318E-2</v>
      </c>
      <c r="E56">
        <f t="shared" si="31"/>
        <v>7.9535447864859318E-2</v>
      </c>
      <c r="J56" t="s">
        <v>85</v>
      </c>
      <c r="K56">
        <f>J33+J35*(K55)^2</f>
        <v>3.4474267265830083E-2</v>
      </c>
    </row>
    <row r="57" spans="2:17">
      <c r="B57">
        <f t="shared" si="32"/>
        <v>1.2</v>
      </c>
      <c r="C57">
        <f t="shared" si="31"/>
        <v>9.1232268533386313E-2</v>
      </c>
      <c r="E57">
        <f t="shared" si="31"/>
        <v>9.1232268533386313E-2</v>
      </c>
      <c r="J57" t="s">
        <v>86</v>
      </c>
      <c r="K57">
        <f>K54*A33*K56</f>
        <v>213911.18640650855</v>
      </c>
      <c r="L57" t="s">
        <v>87</v>
      </c>
      <c r="O57" t="s">
        <v>86</v>
      </c>
      <c r="P57">
        <f>K57/9.81</f>
        <v>21805.421652039608</v>
      </c>
      <c r="Q57" t="s">
        <v>88</v>
      </c>
    </row>
    <row r="58" spans="2:17">
      <c r="B58">
        <f t="shared" si="32"/>
        <v>1.3</v>
      </c>
      <c r="C58">
        <f t="shared" si="31"/>
        <v>0.10394620404265477</v>
      </c>
      <c r="E58">
        <f t="shared" si="31"/>
        <v>0.10394620404265477</v>
      </c>
    </row>
    <row r="59" spans="2:17">
      <c r="B59">
        <f>B58+$A$45</f>
        <v>1.4000000000000001</v>
      </c>
      <c r="C59">
        <f t="shared" si="31"/>
        <v>0.11767725439266472</v>
      </c>
      <c r="E59">
        <f t="shared" si="31"/>
        <v>0.11767725439266472</v>
      </c>
      <c r="J59" t="s">
        <v>89</v>
      </c>
      <c r="K59">
        <f>($R$35-$P$57)/(14*$P$57)</f>
        <v>0.20111177370624816</v>
      </c>
    </row>
    <row r="60" spans="2:17">
      <c r="B60">
        <f t="shared" si="32"/>
        <v>1.5000000000000002</v>
      </c>
      <c r="C60">
        <f t="shared" si="31"/>
        <v>0.13242541958341614</v>
      </c>
      <c r="E60">
        <f t="shared" si="31"/>
        <v>0.13242541958341614</v>
      </c>
      <c r="J60" t="s">
        <v>90</v>
      </c>
      <c r="K60">
        <f>M33+K59</f>
        <v>1.0311117737062481</v>
      </c>
    </row>
    <row r="61" spans="2:17">
      <c r="B61">
        <f t="shared" si="32"/>
        <v>1.6000000000000003</v>
      </c>
      <c r="C61">
        <f t="shared" si="31"/>
        <v>0.14819069961490902</v>
      </c>
      <c r="E61">
        <f t="shared" si="31"/>
        <v>0.14819069961490902</v>
      </c>
    </row>
    <row r="62" spans="2:17">
      <c r="B62">
        <f t="shared" si="32"/>
        <v>1.7000000000000004</v>
      </c>
      <c r="C62">
        <f t="shared" si="31"/>
        <v>0.16497309448714342</v>
      </c>
      <c r="E62">
        <f t="shared" si="31"/>
        <v>0.16497309448714342</v>
      </c>
    </row>
    <row r="63" spans="2:17">
      <c r="B63">
        <f t="shared" si="32"/>
        <v>1.8000000000000005</v>
      </c>
      <c r="C63">
        <f t="shared" si="31"/>
        <v>0.18277260420011926</v>
      </c>
      <c r="E63">
        <f t="shared" si="31"/>
        <v>0.18277260420011926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H63"/>
  <sheetViews>
    <sheetView tabSelected="1" zoomScale="75" workbookViewId="0">
      <selection activeCell="T36" sqref="T36"/>
    </sheetView>
  </sheetViews>
  <sheetFormatPr defaultRowHeight="12.75"/>
  <cols>
    <col min="1" max="1" width="6.7109375" customWidth="1"/>
    <col min="2" max="2" width="7.5703125" customWidth="1"/>
    <col min="3" max="3" width="8.7109375" customWidth="1"/>
    <col min="4" max="4" width="9.85546875" customWidth="1"/>
    <col min="6" max="6" width="7.5703125" customWidth="1"/>
    <col min="7" max="7" width="7.85546875" customWidth="1"/>
    <col min="8" max="8" width="6.28515625" customWidth="1"/>
    <col min="9" max="9" width="8.85546875" customWidth="1"/>
    <col min="10" max="10" width="7.42578125" customWidth="1"/>
    <col min="11" max="11" width="7.5703125" customWidth="1"/>
    <col min="12" max="12" width="6.28515625" customWidth="1"/>
    <col min="13" max="14" width="6.85546875" customWidth="1"/>
    <col min="15" max="15" width="7.5703125" customWidth="1"/>
    <col min="16" max="16" width="9.42578125" customWidth="1"/>
    <col min="17" max="17" width="7" customWidth="1"/>
    <col min="18" max="18" width="7.5703125" customWidth="1"/>
  </cols>
  <sheetData>
    <row r="1" spans="1:34" s="2" customFormat="1" ht="25.5" customHeight="1">
      <c r="A1" s="2" t="s">
        <v>2</v>
      </c>
      <c r="B1" s="2" t="s">
        <v>0</v>
      </c>
      <c r="C1" s="2" t="s">
        <v>1</v>
      </c>
      <c r="D1" s="2" t="s">
        <v>48</v>
      </c>
      <c r="E1" s="2" t="s">
        <v>49</v>
      </c>
      <c r="F1" s="2" t="s">
        <v>50</v>
      </c>
      <c r="G1" s="2" t="s">
        <v>51</v>
      </c>
      <c r="H1" s="2" t="s">
        <v>52</v>
      </c>
      <c r="I1" s="2" t="s">
        <v>53</v>
      </c>
      <c r="J1" s="2" t="s">
        <v>55</v>
      </c>
      <c r="K1" s="2" t="s">
        <v>56</v>
      </c>
      <c r="L1" s="2" t="s">
        <v>64</v>
      </c>
      <c r="M1" s="2" t="s">
        <v>65</v>
      </c>
      <c r="N1" s="2" t="s">
        <v>98</v>
      </c>
      <c r="O1" s="2" t="s">
        <v>66</v>
      </c>
      <c r="P1" s="2" t="s">
        <v>67</v>
      </c>
      <c r="Q1" s="2" t="s">
        <v>68</v>
      </c>
      <c r="R1" s="2" t="s">
        <v>69</v>
      </c>
      <c r="S1" s="2" t="s">
        <v>57</v>
      </c>
      <c r="T1" s="12" t="s">
        <v>85</v>
      </c>
      <c r="U1" s="12" t="s">
        <v>91</v>
      </c>
      <c r="V1" s="12" t="s">
        <v>93</v>
      </c>
      <c r="W1" s="12" t="s">
        <v>56</v>
      </c>
      <c r="X1" s="12" t="s">
        <v>67</v>
      </c>
      <c r="Y1" s="12" t="s">
        <v>68</v>
      </c>
      <c r="Z1" s="12" t="s">
        <v>69</v>
      </c>
      <c r="AA1" s="12" t="s">
        <v>57</v>
      </c>
      <c r="AC1" s="2" t="s">
        <v>95</v>
      </c>
      <c r="AD1" s="2" t="s">
        <v>97</v>
      </c>
      <c r="AF1" s="2" t="s">
        <v>99</v>
      </c>
      <c r="AG1" s="2" t="s">
        <v>95</v>
      </c>
      <c r="AH1" s="2" t="s">
        <v>97</v>
      </c>
    </row>
    <row r="2" spans="1:34" ht="12" customHeight="1">
      <c r="A2">
        <f>SL!A2</f>
        <v>6</v>
      </c>
      <c r="B2" s="8">
        <f>$F$39/3.6</f>
        <v>167.34140053610761</v>
      </c>
      <c r="C2">
        <f>$B2*3.6</f>
        <v>602.42904192998742</v>
      </c>
      <c r="D2">
        <f>0.5*$H$37*($B2)^2</f>
        <v>4360</v>
      </c>
      <c r="E2">
        <f>(2/$H$37)*($E$35)*(1/$B2)^2</f>
        <v>1.4999999999999996</v>
      </c>
      <c r="F2">
        <f>$J$33+$J$35*($E2)^2</f>
        <v>0.13242541958341603</v>
      </c>
      <c r="G2" s="7">
        <f>($F2*$D2*$A$33)/9.81</f>
        <v>31782.100700019844</v>
      </c>
      <c r="H2" s="8">
        <f>$E2/$F2</f>
        <v>11.32713043099052</v>
      </c>
      <c r="I2" s="7">
        <f>$D$33/$H2</f>
        <v>31782.100700019855</v>
      </c>
      <c r="J2" s="7">
        <f>$G2*9.81*$B2/1000</f>
        <v>52174.104795016297</v>
      </c>
      <c r="K2" s="7">
        <f>$J2/0.746</f>
        <v>69938.478277501737</v>
      </c>
      <c r="L2" s="10">
        <f>$B2/$J$37</f>
        <v>0.5774991672529467</v>
      </c>
      <c r="M2">
        <f>$R$35*$G$37</f>
        <v>21149.345095479661</v>
      </c>
      <c r="N2">
        <f>M2/$O$35</f>
        <v>0.20335908745653519</v>
      </c>
      <c r="O2">
        <f>$M2*9.81*$B2/746</f>
        <v>46540.441945760642</v>
      </c>
      <c r="P2" s="7">
        <f>$M2-$G2</f>
        <v>-10632.755604540183</v>
      </c>
      <c r="Q2" s="8">
        <f>57.3*ASIN($P2/$D$33)</f>
        <v>-1.6926264193589433</v>
      </c>
      <c r="R2" s="7">
        <f>$O2-$K2</f>
        <v>-23398.036331741096</v>
      </c>
      <c r="S2">
        <f>$R2*746/($D$33*9.81)</f>
        <v>-4.9425005956163934</v>
      </c>
      <c r="T2" s="13">
        <f>U2*9.81/(D2*$A$33)</f>
        <v>0.13242541958341608</v>
      </c>
      <c r="U2" s="13">
        <f>IF(L2&lt;$M$33,I2,$M$37+$M$37*14*(L2-$M$33))</f>
        <v>31782.100700019855</v>
      </c>
      <c r="V2" s="14">
        <f>$U2*9.81*$B2/1000</f>
        <v>52174.104795016312</v>
      </c>
      <c r="W2" s="14">
        <f>$V2/0.746</f>
        <v>69938.478277501752</v>
      </c>
      <c r="X2" s="14">
        <f>$M2-$U2</f>
        <v>-10632.755604540194</v>
      </c>
      <c r="Y2" s="15">
        <f>57.3*ASIN($X2/$D$33)</f>
        <v>-1.6926264193589451</v>
      </c>
      <c r="Z2" s="14">
        <f>$O2-$W2</f>
        <v>-23398.03633174111</v>
      </c>
      <c r="AA2" s="13">
        <f>$Z2*746/($D$33*9.81)</f>
        <v>-4.942500595616397</v>
      </c>
      <c r="AC2">
        <f>11.27*(2/$S$33)*SQRT(2/($H$37*$A$33))*(SQRT(E2))*(1/T2)*(SQRT($D$33)-SQRT($D$33-$E$33))</f>
        <v>3045.887897352356</v>
      </c>
      <c r="AD2">
        <f>(1/$S$33)*(E2/T2)*LN($D$33/($D$33-$E$33))</f>
        <v>5.431020595531642</v>
      </c>
      <c r="AF2">
        <f>0.54+(L2-0.5)*0.4</f>
        <v>0.57099966690117876</v>
      </c>
      <c r="AG2">
        <f>11.27*(2/AF2)*SQRT(2/($H$37*$A$33))*(SQRT(E2))*(1/T2)*(SQRT($D$33)-SQRT($D$33-$E$33))</f>
        <v>3200.5845963614183</v>
      </c>
      <c r="AH2">
        <f>(1/AF2)*(E2/T2)*LN($D$33/($D$33-$E$33))</f>
        <v>5.7068550932849202</v>
      </c>
    </row>
    <row r="3" spans="1:34" ht="12" customHeight="1">
      <c r="B3" s="8">
        <f>B2+$A$2</f>
        <v>173.34140053610761</v>
      </c>
      <c r="C3">
        <f t="shared" ref="C3:C30" si="0">$B3*3.6</f>
        <v>624.02904192998744</v>
      </c>
      <c r="D3">
        <f t="shared" ref="D3:D30" si="1">0.5*$H$37*($B3)^2</f>
        <v>4678.2593343785238</v>
      </c>
      <c r="E3">
        <f t="shared" ref="E3:E30" si="2">(2/$H$37)*($E$35)*(1/$B3)^2</f>
        <v>1.3979558490783828</v>
      </c>
      <c r="F3">
        <f t="shared" ref="F3:F30" si="3">$J$33+$J$35*($E3)^2</f>
        <v>0.11738638782260474</v>
      </c>
      <c r="G3" s="7">
        <f t="shared" ref="G3:G30" si="4">($F3*$D3*$A$33)/9.81</f>
        <v>30229.209058352928</v>
      </c>
      <c r="H3" s="8">
        <f t="shared" ref="H3:H30" si="5">$E3/$F3</f>
        <v>11.909011555845682</v>
      </c>
      <c r="I3" s="7">
        <f t="shared" ref="I3:I30" si="6">$D$33/$H3</f>
        <v>30229.209058352928</v>
      </c>
      <c r="J3" s="7">
        <f t="shared" ref="J3:J30" si="7">$G3*9.81*$B3/1000</f>
        <v>51404.139400034874</v>
      </c>
      <c r="K3" s="7">
        <f t="shared" ref="K3:K30" si="8">$J3/0.746</f>
        <v>68906.35308315666</v>
      </c>
      <c r="L3" s="10">
        <f t="shared" ref="L3:L30" si="9">$B3/$J$37</f>
        <v>0.59820531045729997</v>
      </c>
      <c r="M3">
        <f t="shared" ref="M3:M30" si="10">$R$35*$G$37</f>
        <v>21149.345095479661</v>
      </c>
      <c r="N3">
        <f t="shared" ref="N3:N30" si="11">M3/$O$35</f>
        <v>0.20335908745653519</v>
      </c>
      <c r="O3">
        <f t="shared" ref="O3:O30" si="12">$M3*9.81*$B3/746</f>
        <v>48209.142283991117</v>
      </c>
      <c r="P3" s="7">
        <f t="shared" ref="P3:P30" si="13">$M3-$G3</f>
        <v>-9079.8639628732672</v>
      </c>
      <c r="Q3" s="8">
        <f t="shared" ref="Q3:Q30" si="14">57.3*ASIN($P3/$D$33)</f>
        <v>-1.4453649511418067</v>
      </c>
      <c r="R3" s="7">
        <f t="shared" ref="R3:R29" si="15">$O3-$K3</f>
        <v>-20697.210799165543</v>
      </c>
      <c r="S3">
        <f t="shared" ref="S3:S30" si="16">$R3*746/($D$33*9.81)</f>
        <v>-4.3719898222271762</v>
      </c>
      <c r="T3" s="13">
        <f t="shared" ref="T3:T30" si="17">U3*9.81/(D3*$A$33)</f>
        <v>0.11738638782260476</v>
      </c>
      <c r="U3" s="13">
        <f t="shared" ref="U3:U30" si="18">IF(L3&lt;$M$33,I3,$M$37+$M$37*14*(L3-$M$33))</f>
        <v>30229.209058352928</v>
      </c>
      <c r="V3" s="14">
        <f t="shared" ref="V3:V30" si="19">$U3*9.81*$B3/1000</f>
        <v>51404.139400034874</v>
      </c>
      <c r="W3" s="14">
        <f t="shared" ref="W3:W30" si="20">$V3/0.746</f>
        <v>68906.35308315666</v>
      </c>
      <c r="X3" s="14">
        <f t="shared" ref="X3:X30" si="21">$M3-$U3</f>
        <v>-9079.8639628732672</v>
      </c>
      <c r="Y3" s="15">
        <f t="shared" ref="Y3:Y30" si="22">57.3*ASIN($X3/$D$33)</f>
        <v>-1.4453649511418067</v>
      </c>
      <c r="Z3" s="14">
        <f t="shared" ref="Z3:Z30" si="23">$O3-$W3</f>
        <v>-20697.210799165543</v>
      </c>
      <c r="AA3" s="13">
        <f t="shared" ref="AA3:AA30" si="24">$Z3*746/($D$33*9.81)</f>
        <v>-4.3719898222271762</v>
      </c>
      <c r="AC3">
        <f t="shared" ref="AC3:AC30" si="25">11.27*(2/$S$33)*SQRT(2/($H$37*$A$33))*(SQRT(E3))*(1/T3)*(SQRT($D$33)-SQRT($D$33-$E$33))</f>
        <v>3317.1768992222478</v>
      </c>
      <c r="AD3">
        <f t="shared" ref="AD3:AD30" si="26">(1/$S$33)*(E3/T3)*LN($D$33/($D$33-$E$33))</f>
        <v>5.7100152087298213</v>
      </c>
      <c r="AF3">
        <f t="shared" ref="AF3:AF30" si="27">0.54+(L3-0.5)*0.4</f>
        <v>0.57928212418292002</v>
      </c>
      <c r="AG3">
        <f t="shared" ref="AG3:AG30" si="28">11.27*(2/AF3)*SQRT(2/($H$37*$A$33))*(SQRT(E3))*(1/T3)*(SQRT($D$33)-SQRT($D$33-$E$33))</f>
        <v>3435.8148757665945</v>
      </c>
      <c r="AH3">
        <f t="shared" ref="AH3:AH30" si="29">(1/AF3)*(E3/T3)*LN($D$33/($D$33-$E$33))</f>
        <v>5.9142324304764164</v>
      </c>
    </row>
    <row r="4" spans="1:34" ht="12" customHeight="1">
      <c r="B4" s="8">
        <f t="shared" ref="B4:B30" si="30">B3+$A$2</f>
        <v>179.34140053610761</v>
      </c>
      <c r="C4">
        <f t="shared" si="0"/>
        <v>645.62904192998747</v>
      </c>
      <c r="D4">
        <f t="shared" si="1"/>
        <v>5007.7288384530893</v>
      </c>
      <c r="E4">
        <f t="shared" si="2"/>
        <v>1.3059812563693516</v>
      </c>
      <c r="F4">
        <f t="shared" si="3"/>
        <v>0.1047388946291211</v>
      </c>
      <c r="G4" s="7">
        <f t="shared" si="4"/>
        <v>28871.778888547658</v>
      </c>
      <c r="H4" s="8">
        <f t="shared" si="5"/>
        <v>12.468923421369036</v>
      </c>
      <c r="I4" s="7">
        <f t="shared" si="6"/>
        <v>28871.778888547662</v>
      </c>
      <c r="J4" s="7">
        <f t="shared" si="7"/>
        <v>50795.250618659833</v>
      </c>
      <c r="K4" s="7">
        <f t="shared" si="8"/>
        <v>68090.148282385839</v>
      </c>
      <c r="L4" s="10">
        <f t="shared" si="9"/>
        <v>0.61891145366165312</v>
      </c>
      <c r="M4">
        <f t="shared" si="10"/>
        <v>21149.345095479661</v>
      </c>
      <c r="N4">
        <f t="shared" si="11"/>
        <v>0.20335908745653519</v>
      </c>
      <c r="O4">
        <f t="shared" si="12"/>
        <v>49877.842622221586</v>
      </c>
      <c r="P4" s="7">
        <f t="shared" si="13"/>
        <v>-7722.4337930679976</v>
      </c>
      <c r="Q4" s="8">
        <f t="shared" si="14"/>
        <v>-1.2292483316534997</v>
      </c>
      <c r="R4" s="7">
        <f t="shared" si="15"/>
        <v>-18212.305660164253</v>
      </c>
      <c r="S4">
        <f t="shared" si="16"/>
        <v>-3.8470891444338355</v>
      </c>
      <c r="T4" s="13">
        <f t="shared" si="17"/>
        <v>0.10473889462912113</v>
      </c>
      <c r="U4" s="13">
        <f t="shared" si="18"/>
        <v>28871.778888547662</v>
      </c>
      <c r="V4" s="14">
        <f t="shared" si="19"/>
        <v>50795.250618659848</v>
      </c>
      <c r="W4" s="14">
        <f t="shared" si="20"/>
        <v>68090.148282385853</v>
      </c>
      <c r="X4" s="14">
        <f t="shared" si="21"/>
        <v>-7722.4337930680013</v>
      </c>
      <c r="Y4" s="15">
        <f t="shared" si="22"/>
        <v>-1.2292483316535003</v>
      </c>
      <c r="Z4" s="14">
        <f t="shared" si="23"/>
        <v>-18212.305660164267</v>
      </c>
      <c r="AA4" s="13">
        <f t="shared" si="24"/>
        <v>-3.8470891444338386</v>
      </c>
      <c r="AC4">
        <f t="shared" si="25"/>
        <v>3593.3550359373417</v>
      </c>
      <c r="AD4">
        <f t="shared" si="26"/>
        <v>5.9784762185033218</v>
      </c>
      <c r="AF4">
        <f t="shared" si="27"/>
        <v>0.58756458146466128</v>
      </c>
      <c r="AG4">
        <f t="shared" si="28"/>
        <v>3669.4060356530813</v>
      </c>
      <c r="AH4">
        <f t="shared" si="29"/>
        <v>6.1050067418295129</v>
      </c>
    </row>
    <row r="5" spans="1:34" ht="12" customHeight="1">
      <c r="B5" s="8">
        <f t="shared" si="30"/>
        <v>185.34140053610761</v>
      </c>
      <c r="C5">
        <f t="shared" si="0"/>
        <v>667.22904192998737</v>
      </c>
      <c r="D5">
        <f t="shared" si="1"/>
        <v>5348.4085122236957</v>
      </c>
      <c r="E5">
        <f t="shared" si="2"/>
        <v>1.2227936562910149</v>
      </c>
      <c r="F5">
        <f t="shared" si="3"/>
        <v>9.4040742603775956E-2</v>
      </c>
      <c r="G5" s="7">
        <f t="shared" si="4"/>
        <v>27686.32889382786</v>
      </c>
      <c r="H5" s="8">
        <f t="shared" si="5"/>
        <v>13.002807319834126</v>
      </c>
      <c r="I5" s="7">
        <f t="shared" si="6"/>
        <v>27686.328893827864</v>
      </c>
      <c r="J5" s="7">
        <f t="shared" si="7"/>
        <v>50339.259364005375</v>
      </c>
      <c r="K5" s="7">
        <f t="shared" si="8"/>
        <v>67478.899951749831</v>
      </c>
      <c r="L5" s="10">
        <f t="shared" si="9"/>
        <v>0.63961759686600639</v>
      </c>
      <c r="M5">
        <f t="shared" si="10"/>
        <v>21149.345095479661</v>
      </c>
      <c r="N5">
        <f t="shared" si="11"/>
        <v>0.20335908745653519</v>
      </c>
      <c r="O5">
        <f t="shared" si="12"/>
        <v>51546.542960452061</v>
      </c>
      <c r="P5" s="7">
        <f t="shared" si="13"/>
        <v>-6536.9837983481993</v>
      </c>
      <c r="Q5" s="8">
        <f t="shared" si="14"/>
        <v>-1.0405271076086331</v>
      </c>
      <c r="R5" s="7">
        <f t="shared" si="15"/>
        <v>-15932.356991297769</v>
      </c>
      <c r="S5">
        <f t="shared" si="16"/>
        <v>-3.3654825901880554</v>
      </c>
      <c r="T5" s="13">
        <f t="shared" si="17"/>
        <v>9.404074260377597E-2</v>
      </c>
      <c r="U5" s="13">
        <f t="shared" si="18"/>
        <v>27686.328893827864</v>
      </c>
      <c r="V5" s="14">
        <f t="shared" si="19"/>
        <v>50339.259364005382</v>
      </c>
      <c r="W5" s="14">
        <f t="shared" si="20"/>
        <v>67478.899951749845</v>
      </c>
      <c r="X5" s="14">
        <f t="shared" si="21"/>
        <v>-6536.983798348203</v>
      </c>
      <c r="Y5" s="15">
        <f t="shared" si="22"/>
        <v>-1.0405271076086335</v>
      </c>
      <c r="Z5" s="14">
        <f t="shared" si="23"/>
        <v>-15932.356991297784</v>
      </c>
      <c r="AA5" s="13">
        <f t="shared" si="24"/>
        <v>-3.3654825901880581</v>
      </c>
      <c r="AC5">
        <f t="shared" si="25"/>
        <v>3872.5780717369926</v>
      </c>
      <c r="AD5">
        <f t="shared" si="26"/>
        <v>6.2344575957684443</v>
      </c>
      <c r="AF5">
        <f t="shared" si="27"/>
        <v>0.59584703874640255</v>
      </c>
      <c r="AG5">
        <f t="shared" si="28"/>
        <v>3899.5693390214474</v>
      </c>
      <c r="AH5">
        <f t="shared" si="29"/>
        <v>6.2779107962524066</v>
      </c>
    </row>
    <row r="6" spans="1:34" ht="12" customHeight="1">
      <c r="B6" s="8">
        <f t="shared" si="30"/>
        <v>191.34140053610761</v>
      </c>
      <c r="C6">
        <f t="shared" si="0"/>
        <v>688.8290419299874</v>
      </c>
      <c r="D6">
        <f t="shared" si="1"/>
        <v>5700.2983556903437</v>
      </c>
      <c r="E6">
        <f t="shared" si="2"/>
        <v>1.1473083673719322</v>
      </c>
      <c r="F6">
        <f t="shared" si="3"/>
        <v>8.4942251846533395E-2</v>
      </c>
      <c r="G6" s="7">
        <f t="shared" si="4"/>
        <v>26653.00065299611</v>
      </c>
      <c r="H6" s="8">
        <f t="shared" si="5"/>
        <v>13.506921966759178</v>
      </c>
      <c r="I6" s="7">
        <f t="shared" si="6"/>
        <v>26653.000652996121</v>
      </c>
      <c r="J6" s="7">
        <f t="shared" si="7"/>
        <v>50029.258464388193</v>
      </c>
      <c r="K6" s="7">
        <f t="shared" si="8"/>
        <v>67063.349147973451</v>
      </c>
      <c r="L6" s="10">
        <f t="shared" si="9"/>
        <v>0.66032374007035965</v>
      </c>
      <c r="M6">
        <f t="shared" si="10"/>
        <v>21149.345095479661</v>
      </c>
      <c r="N6">
        <f t="shared" si="11"/>
        <v>0.20335908745653519</v>
      </c>
      <c r="O6">
        <f t="shared" si="12"/>
        <v>53215.243298682537</v>
      </c>
      <c r="P6" s="7">
        <f t="shared" si="13"/>
        <v>-5503.6555575164493</v>
      </c>
      <c r="Q6" s="8">
        <f t="shared" si="14"/>
        <v>-0.87603263634942707</v>
      </c>
      <c r="R6" s="7">
        <f t="shared" si="15"/>
        <v>-13848.105849290914</v>
      </c>
      <c r="S6">
        <f t="shared" si="16"/>
        <v>-2.9252143401209145</v>
      </c>
      <c r="T6" s="13">
        <f t="shared" si="17"/>
        <v>8.4942251846533437E-2</v>
      </c>
      <c r="U6" s="13">
        <f t="shared" si="18"/>
        <v>26653.000652996121</v>
      </c>
      <c r="V6" s="14">
        <f t="shared" si="19"/>
        <v>50029.258464388215</v>
      </c>
      <c r="W6" s="14">
        <f t="shared" si="20"/>
        <v>67063.34914797348</v>
      </c>
      <c r="X6" s="14">
        <f t="shared" si="21"/>
        <v>-5503.6555575164602</v>
      </c>
      <c r="Y6" s="15">
        <f t="shared" si="22"/>
        <v>-0.87603263634942874</v>
      </c>
      <c r="Z6" s="14">
        <f t="shared" si="23"/>
        <v>-13848.105849290943</v>
      </c>
      <c r="AA6" s="13">
        <f t="shared" si="24"/>
        <v>-2.9252143401209207</v>
      </c>
      <c r="AC6">
        <f t="shared" si="25"/>
        <v>4152.9428411354984</v>
      </c>
      <c r="AD6">
        <f t="shared" si="26"/>
        <v>6.4761655064029364</v>
      </c>
      <c r="AF6">
        <f t="shared" si="27"/>
        <v>0.60412949602814392</v>
      </c>
      <c r="AG6">
        <f t="shared" si="28"/>
        <v>4124.5556144228012</v>
      </c>
      <c r="AH6">
        <f t="shared" si="29"/>
        <v>6.4318980109203991</v>
      </c>
    </row>
    <row r="7" spans="1:34" ht="12" customHeight="1">
      <c r="B7" s="8">
        <f t="shared" si="30"/>
        <v>197.34140053610761</v>
      </c>
      <c r="C7">
        <f t="shared" si="0"/>
        <v>710.42904192998742</v>
      </c>
      <c r="D7">
        <f t="shared" si="1"/>
        <v>6063.3983688530334</v>
      </c>
      <c r="E7">
        <f t="shared" si="2"/>
        <v>1.0786030542863905</v>
      </c>
      <c r="F7">
        <f t="shared" si="3"/>
        <v>7.7164784499414898E-2</v>
      </c>
      <c r="G7" s="7">
        <f t="shared" si="4"/>
        <v>25754.907988989806</v>
      </c>
      <c r="H7" s="8">
        <f t="shared" si="5"/>
        <v>13.977918311876696</v>
      </c>
      <c r="I7" s="7">
        <f t="shared" si="6"/>
        <v>25754.907988989806</v>
      </c>
      <c r="J7" s="7">
        <f t="shared" si="7"/>
        <v>49859.419305745447</v>
      </c>
      <c r="K7" s="7">
        <f t="shared" si="8"/>
        <v>66835.682715476476</v>
      </c>
      <c r="L7" s="10">
        <f t="shared" si="9"/>
        <v>0.68102988327471292</v>
      </c>
      <c r="M7">
        <f t="shared" si="10"/>
        <v>21149.345095479661</v>
      </c>
      <c r="N7">
        <f t="shared" si="11"/>
        <v>0.20335908745653519</v>
      </c>
      <c r="O7">
        <f t="shared" si="12"/>
        <v>54883.943636913005</v>
      </c>
      <c r="P7" s="7">
        <f t="shared" si="13"/>
        <v>-4605.5628935101449</v>
      </c>
      <c r="Q7" s="8">
        <f t="shared" si="14"/>
        <v>-0.73307209139768514</v>
      </c>
      <c r="R7" s="7">
        <f t="shared" si="15"/>
        <v>-11951.739078563471</v>
      </c>
      <c r="S7">
        <f t="shared" si="16"/>
        <v>-2.5246339768400583</v>
      </c>
      <c r="T7" s="13">
        <f t="shared" si="17"/>
        <v>7.7164784499414898E-2</v>
      </c>
      <c r="U7" s="13">
        <f t="shared" si="18"/>
        <v>25754.907988989806</v>
      </c>
      <c r="V7" s="14">
        <f t="shared" si="19"/>
        <v>49859.419305745447</v>
      </c>
      <c r="W7" s="14">
        <f t="shared" si="20"/>
        <v>66835.682715476476</v>
      </c>
      <c r="X7" s="14">
        <f t="shared" si="21"/>
        <v>-4605.5628935101449</v>
      </c>
      <c r="Y7" s="15">
        <f t="shared" si="22"/>
        <v>-0.73307209139768514</v>
      </c>
      <c r="Z7" s="14">
        <f t="shared" si="23"/>
        <v>-11951.739078563471</v>
      </c>
      <c r="AA7" s="13">
        <f t="shared" si="24"/>
        <v>-2.5246339768400583</v>
      </c>
      <c r="AC7">
        <f t="shared" si="25"/>
        <v>4432.5262742521527</v>
      </c>
      <c r="AD7">
        <f t="shared" si="26"/>
        <v>6.7019941808706438</v>
      </c>
      <c r="AF7">
        <f t="shared" si="27"/>
        <v>0.61241195330988518</v>
      </c>
      <c r="AG7">
        <f t="shared" si="28"/>
        <v>4342.6908148632356</v>
      </c>
      <c r="AH7">
        <f t="shared" si="29"/>
        <v>6.5661626733265752</v>
      </c>
    </row>
    <row r="8" spans="1:34" ht="12" customHeight="1">
      <c r="B8" s="8">
        <f t="shared" si="30"/>
        <v>203.34140053610761</v>
      </c>
      <c r="C8">
        <f t="shared" si="0"/>
        <v>732.02904192998744</v>
      </c>
      <c r="D8">
        <f t="shared" si="1"/>
        <v>6437.7085517117639</v>
      </c>
      <c r="E8">
        <f t="shared" si="2"/>
        <v>1.0158894189549845</v>
      </c>
      <c r="F8">
        <f t="shared" si="3"/>
        <v>7.0484718154100026E-2</v>
      </c>
      <c r="G8" s="7">
        <f t="shared" si="4"/>
        <v>24977.61868765008</v>
      </c>
      <c r="H8" s="8">
        <f t="shared" si="5"/>
        <v>14.412903187524362</v>
      </c>
      <c r="I8" s="7">
        <f t="shared" si="6"/>
        <v>24977.618687650087</v>
      </c>
      <c r="J8" s="7">
        <f t="shared" si="7"/>
        <v>49824.832706495523</v>
      </c>
      <c r="K8" s="7">
        <f t="shared" si="8"/>
        <v>66789.319981897483</v>
      </c>
      <c r="L8" s="10">
        <f t="shared" si="9"/>
        <v>0.70173602647906619</v>
      </c>
      <c r="M8">
        <f t="shared" si="10"/>
        <v>21149.345095479661</v>
      </c>
      <c r="N8">
        <f t="shared" si="11"/>
        <v>0.20335908745653519</v>
      </c>
      <c r="O8">
        <f t="shared" si="12"/>
        <v>56552.643975143481</v>
      </c>
      <c r="P8" s="7">
        <f t="shared" si="13"/>
        <v>-3828.2735921704189</v>
      </c>
      <c r="Q8" s="8">
        <f t="shared" si="14"/>
        <v>-0.60934503164467213</v>
      </c>
      <c r="R8" s="7">
        <f t="shared" si="15"/>
        <v>-10236.676006754002</v>
      </c>
      <c r="S8">
        <f t="shared" si="16"/>
        <v>-2.1623514274092437</v>
      </c>
      <c r="T8" s="13">
        <f t="shared" si="17"/>
        <v>7.048471815410004E-2</v>
      </c>
      <c r="U8" s="13">
        <f t="shared" si="18"/>
        <v>24977.618687650087</v>
      </c>
      <c r="V8" s="14">
        <f t="shared" si="19"/>
        <v>49824.832706495545</v>
      </c>
      <c r="W8" s="14">
        <f t="shared" si="20"/>
        <v>66789.319981897512</v>
      </c>
      <c r="X8" s="14">
        <f t="shared" si="21"/>
        <v>-3828.2735921704261</v>
      </c>
      <c r="Y8" s="15">
        <f t="shared" si="22"/>
        <v>-0.60934503164467335</v>
      </c>
      <c r="Z8" s="14">
        <f t="shared" si="23"/>
        <v>-10236.676006754031</v>
      </c>
      <c r="AA8" s="13">
        <f t="shared" si="24"/>
        <v>-2.1623514274092499</v>
      </c>
      <c r="AC8">
        <f t="shared" si="25"/>
        <v>4709.4251024741952</v>
      </c>
      <c r="AD8">
        <f t="shared" si="26"/>
        <v>6.9105564317231423</v>
      </c>
      <c r="AF8">
        <f t="shared" si="27"/>
        <v>0.62069441059162656</v>
      </c>
      <c r="AG8">
        <f t="shared" si="28"/>
        <v>4552.4093874007831</v>
      </c>
      <c r="AH8">
        <f t="shared" si="29"/>
        <v>6.6801533706123264</v>
      </c>
    </row>
    <row r="9" spans="1:34" ht="12" customHeight="1">
      <c r="B9" s="8">
        <f t="shared" si="30"/>
        <v>209.34140053610761</v>
      </c>
      <c r="C9">
        <f t="shared" si="0"/>
        <v>753.62904192998747</v>
      </c>
      <c r="D9">
        <f t="shared" si="1"/>
        <v>6823.228904266537</v>
      </c>
      <c r="E9">
        <f t="shared" si="2"/>
        <v>0.95849048767960343</v>
      </c>
      <c r="F9">
        <f t="shared" si="3"/>
        <v>6.4721374393854489E-2</v>
      </c>
      <c r="G9" s="7">
        <f t="shared" si="4"/>
        <v>24308.738669064442</v>
      </c>
      <c r="H9" s="8">
        <f t="shared" si="5"/>
        <v>14.809489085426705</v>
      </c>
      <c r="I9" s="7">
        <f t="shared" si="6"/>
        <v>24308.738669064445</v>
      </c>
      <c r="J9" s="7">
        <f t="shared" si="7"/>
        <v>49921.37715681472</v>
      </c>
      <c r="K9" s="7">
        <f t="shared" si="8"/>
        <v>66918.736135140382</v>
      </c>
      <c r="L9" s="10">
        <f t="shared" si="9"/>
        <v>0.72244216968341946</v>
      </c>
      <c r="M9">
        <f t="shared" si="10"/>
        <v>21149.345095479661</v>
      </c>
      <c r="N9">
        <f t="shared" si="11"/>
        <v>0.20335908745653519</v>
      </c>
      <c r="O9">
        <f t="shared" si="12"/>
        <v>58221.344313373957</v>
      </c>
      <c r="P9" s="7">
        <f t="shared" si="13"/>
        <v>-3159.3935735847808</v>
      </c>
      <c r="Q9" s="8">
        <f t="shared" si="14"/>
        <v>-0.50287659918004868</v>
      </c>
      <c r="R9" s="7">
        <f t="shared" si="15"/>
        <v>-8697.391821766425</v>
      </c>
      <c r="S9">
        <f t="shared" si="16"/>
        <v>-1.8371996542750462</v>
      </c>
      <c r="T9" s="13">
        <f t="shared" si="17"/>
        <v>6.4721374393854489E-2</v>
      </c>
      <c r="U9" s="13">
        <f t="shared" si="18"/>
        <v>24308.738669064445</v>
      </c>
      <c r="V9" s="14">
        <f t="shared" si="19"/>
        <v>49921.377156814728</v>
      </c>
      <c r="W9" s="14">
        <f t="shared" si="20"/>
        <v>66918.736135140382</v>
      </c>
      <c r="X9" s="14">
        <f t="shared" si="21"/>
        <v>-3159.3935735847845</v>
      </c>
      <c r="Y9" s="15">
        <f t="shared" si="22"/>
        <v>-0.50287659918004923</v>
      </c>
      <c r="Z9" s="14">
        <f t="shared" si="23"/>
        <v>-8697.391821766425</v>
      </c>
      <c r="AA9" s="13">
        <f t="shared" si="24"/>
        <v>-1.8371996542750462</v>
      </c>
      <c r="AC9">
        <f t="shared" si="25"/>
        <v>4981.7945797930843</v>
      </c>
      <c r="AD9">
        <f t="shared" si="26"/>
        <v>7.1007075200793057</v>
      </c>
      <c r="AF9">
        <f t="shared" si="27"/>
        <v>0.62897686787336782</v>
      </c>
      <c r="AG9">
        <f t="shared" si="28"/>
        <v>4752.2840672697712</v>
      </c>
      <c r="AH9">
        <f t="shared" si="29"/>
        <v>6.7735790132513047</v>
      </c>
    </row>
    <row r="10" spans="1:34" ht="12" customHeight="1">
      <c r="B10" s="8">
        <f t="shared" si="30"/>
        <v>215.34140053610761</v>
      </c>
      <c r="C10">
        <f t="shared" si="0"/>
        <v>775.22904192998737</v>
      </c>
      <c r="D10">
        <f t="shared" si="1"/>
        <v>7219.9594265173509</v>
      </c>
      <c r="E10">
        <f t="shared" si="2"/>
        <v>0.90582226487035267</v>
      </c>
      <c r="F10">
        <f t="shared" si="3"/>
        <v>5.9727847077614513E-2</v>
      </c>
      <c r="G10" s="7">
        <f t="shared" si="4"/>
        <v>23737.576102767507</v>
      </c>
      <c r="H10" s="8">
        <f t="shared" si="5"/>
        <v>15.16582815538729</v>
      </c>
      <c r="I10" s="7">
        <f t="shared" si="6"/>
        <v>23737.576102767511</v>
      </c>
      <c r="J10" s="7">
        <f t="shared" si="7"/>
        <v>50145.609085196491</v>
      </c>
      <c r="K10" s="7">
        <f t="shared" si="8"/>
        <v>67219.315127609239</v>
      </c>
      <c r="L10" s="10">
        <f t="shared" si="9"/>
        <v>0.74314831288777272</v>
      </c>
      <c r="M10">
        <f t="shared" si="10"/>
        <v>21149.345095479661</v>
      </c>
      <c r="N10">
        <f t="shared" si="11"/>
        <v>0.20335908745653519</v>
      </c>
      <c r="O10">
        <f t="shared" si="12"/>
        <v>59890.044651604432</v>
      </c>
      <c r="P10" s="7">
        <f t="shared" si="13"/>
        <v>-2588.2310072878463</v>
      </c>
      <c r="Q10" s="8">
        <f t="shared" si="14"/>
        <v>-0.41196365106751121</v>
      </c>
      <c r="R10" s="7">
        <f t="shared" si="15"/>
        <v>-7329.2704760048073</v>
      </c>
      <c r="S10">
        <f t="shared" si="16"/>
        <v>-1.5482035833898478</v>
      </c>
      <c r="T10" s="13">
        <f t="shared" si="17"/>
        <v>5.9727847077614526E-2</v>
      </c>
      <c r="U10" s="13">
        <f t="shared" si="18"/>
        <v>23737.576102767511</v>
      </c>
      <c r="V10" s="14">
        <f t="shared" si="19"/>
        <v>50145.609085196505</v>
      </c>
      <c r="W10" s="14">
        <f t="shared" si="20"/>
        <v>67219.315127609254</v>
      </c>
      <c r="X10" s="14">
        <f t="shared" si="21"/>
        <v>-2588.2310072878499</v>
      </c>
      <c r="Y10" s="15">
        <f t="shared" si="22"/>
        <v>-0.4119636510675117</v>
      </c>
      <c r="Z10" s="14">
        <f t="shared" si="23"/>
        <v>-7329.2704760048218</v>
      </c>
      <c r="AA10" s="13">
        <f t="shared" si="24"/>
        <v>-1.5482035833898509</v>
      </c>
      <c r="AC10">
        <f t="shared" si="25"/>
        <v>5247.8846239120494</v>
      </c>
      <c r="AD10">
        <f t="shared" si="26"/>
        <v>7.2715614569823055</v>
      </c>
      <c r="AF10">
        <f t="shared" si="27"/>
        <v>0.63725932515510908</v>
      </c>
      <c r="AG10">
        <f t="shared" si="28"/>
        <v>4941.0509192326499</v>
      </c>
      <c r="AH10">
        <f t="shared" si="29"/>
        <v>6.8464072661901705</v>
      </c>
    </row>
    <row r="11" spans="1:34" ht="12" customHeight="1">
      <c r="B11" s="8">
        <f t="shared" si="30"/>
        <v>221.34140053610761</v>
      </c>
      <c r="C11">
        <f t="shared" si="0"/>
        <v>796.8290419299874</v>
      </c>
      <c r="D11">
        <f t="shared" si="1"/>
        <v>7627.9001184642066</v>
      </c>
      <c r="E11">
        <f t="shared" si="2"/>
        <v>0.85737881965302354</v>
      </c>
      <c r="F11">
        <f t="shared" si="3"/>
        <v>5.5383976656309383E-2</v>
      </c>
      <c r="G11" s="7">
        <f t="shared" si="4"/>
        <v>23254.868372349421</v>
      </c>
      <c r="H11" s="8">
        <f t="shared" si="5"/>
        <v>15.480629442222444</v>
      </c>
      <c r="I11" s="7">
        <f t="shared" si="6"/>
        <v>23254.868372349421</v>
      </c>
      <c r="J11" s="7">
        <f t="shared" si="7"/>
        <v>50494.670972571002</v>
      </c>
      <c r="K11" s="7">
        <f t="shared" si="8"/>
        <v>67687.226504786871</v>
      </c>
      <c r="L11" s="10">
        <f t="shared" si="9"/>
        <v>0.76385445609212588</v>
      </c>
      <c r="M11">
        <f t="shared" si="10"/>
        <v>21149.345095479661</v>
      </c>
      <c r="N11">
        <f t="shared" si="11"/>
        <v>0.20335908745653519</v>
      </c>
      <c r="O11">
        <f t="shared" si="12"/>
        <v>61558.744989834893</v>
      </c>
      <c r="P11" s="7">
        <f t="shared" si="13"/>
        <v>-2105.5232768697606</v>
      </c>
      <c r="Q11" s="8">
        <f t="shared" si="14"/>
        <v>-0.3351310322252859</v>
      </c>
      <c r="R11" s="7">
        <f t="shared" si="15"/>
        <v>-6128.4815149519782</v>
      </c>
      <c r="S11">
        <f t="shared" si="16"/>
        <v>-1.2945540860103568</v>
      </c>
      <c r="T11" s="13">
        <f t="shared" si="17"/>
        <v>5.5383976656309383E-2</v>
      </c>
      <c r="U11" s="13">
        <f t="shared" si="18"/>
        <v>23254.868372349421</v>
      </c>
      <c r="V11" s="14">
        <f t="shared" si="19"/>
        <v>50494.670972571002</v>
      </c>
      <c r="W11" s="14">
        <f t="shared" si="20"/>
        <v>67687.226504786871</v>
      </c>
      <c r="X11" s="14">
        <f t="shared" si="21"/>
        <v>-2105.5232768697606</v>
      </c>
      <c r="Y11" s="15">
        <f t="shared" si="22"/>
        <v>-0.3351310322252859</v>
      </c>
      <c r="Z11" s="14">
        <f t="shared" si="23"/>
        <v>-6128.4815149519782</v>
      </c>
      <c r="AA11" s="13">
        <f t="shared" si="24"/>
        <v>-1.2945540860103568</v>
      </c>
      <c r="AC11">
        <f t="shared" si="25"/>
        <v>5506.0719623941495</v>
      </c>
      <c r="AD11">
        <f t="shared" si="26"/>
        <v>7.4224992679943487</v>
      </c>
      <c r="AF11">
        <f t="shared" si="27"/>
        <v>0.64554178243685034</v>
      </c>
      <c r="AG11">
        <f t="shared" si="28"/>
        <v>5117.6287380897238</v>
      </c>
      <c r="AH11">
        <f t="shared" si="29"/>
        <v>6.8988556309788809</v>
      </c>
    </row>
    <row r="12" spans="1:34" ht="12" customHeight="1">
      <c r="B12" s="8">
        <f t="shared" si="30"/>
        <v>227.34140053610761</v>
      </c>
      <c r="C12">
        <f t="shared" si="0"/>
        <v>818.42904192998742</v>
      </c>
      <c r="D12">
        <f t="shared" si="1"/>
        <v>8047.0509801071039</v>
      </c>
      <c r="E12">
        <f t="shared" si="2"/>
        <v>0.81272009039924753</v>
      </c>
      <c r="F12">
        <f t="shared" si="3"/>
        <v>5.1590926816027741E-2</v>
      </c>
      <c r="G12" s="7">
        <f t="shared" si="4"/>
        <v>22852.558799975221</v>
      </c>
      <c r="H12" s="8">
        <f t="shared" si="5"/>
        <v>15.753159335504707</v>
      </c>
      <c r="I12" s="7">
        <f t="shared" si="6"/>
        <v>22852.558799975228</v>
      </c>
      <c r="J12" s="7">
        <f t="shared" si="7"/>
        <v>50966.214016751357</v>
      </c>
      <c r="K12" s="7">
        <f t="shared" si="8"/>
        <v>68319.3217382726</v>
      </c>
      <c r="L12" s="10">
        <f t="shared" si="9"/>
        <v>0.78456059929647914</v>
      </c>
      <c r="M12">
        <f t="shared" si="10"/>
        <v>21149.345095479661</v>
      </c>
      <c r="N12">
        <f t="shared" si="11"/>
        <v>0.20335908745653519</v>
      </c>
      <c r="O12">
        <f t="shared" si="12"/>
        <v>63227.445328065369</v>
      </c>
      <c r="P12" s="7">
        <f t="shared" si="13"/>
        <v>-1703.2137044955598</v>
      </c>
      <c r="Q12" s="8">
        <f t="shared" si="14"/>
        <v>-0.27109585932996672</v>
      </c>
      <c r="R12" s="7">
        <f t="shared" si="15"/>
        <v>-5091.8764102072309</v>
      </c>
      <c r="S12">
        <f t="shared" si="16"/>
        <v>-1.0755860805342039</v>
      </c>
      <c r="T12" s="13">
        <f t="shared" si="17"/>
        <v>5.1590926816027755E-2</v>
      </c>
      <c r="U12" s="13">
        <f t="shared" si="18"/>
        <v>22852.558799975228</v>
      </c>
      <c r="V12" s="14">
        <f t="shared" si="19"/>
        <v>50966.214016751372</v>
      </c>
      <c r="W12" s="14">
        <f t="shared" si="20"/>
        <v>68319.321738272614</v>
      </c>
      <c r="X12" s="14">
        <f t="shared" si="21"/>
        <v>-1703.2137044955671</v>
      </c>
      <c r="Y12" s="15">
        <f t="shared" si="22"/>
        <v>-0.27109585932996788</v>
      </c>
      <c r="Z12" s="14">
        <f t="shared" si="23"/>
        <v>-5091.8764102072455</v>
      </c>
      <c r="AA12" s="13">
        <f t="shared" si="24"/>
        <v>-1.075586080534207</v>
      </c>
      <c r="AC12">
        <f t="shared" si="25"/>
        <v>5754.8871433078257</v>
      </c>
      <c r="AD12">
        <f t="shared" si="26"/>
        <v>7.5531692088351869</v>
      </c>
      <c r="AF12">
        <f t="shared" si="27"/>
        <v>0.65382423971859172</v>
      </c>
      <c r="AG12">
        <f t="shared" si="28"/>
        <v>5281.1322618917429</v>
      </c>
      <c r="AH12">
        <f t="shared" si="29"/>
        <v>6.9313758193664681</v>
      </c>
    </row>
    <row r="13" spans="1:34" ht="12" customHeight="1">
      <c r="B13" s="8">
        <f t="shared" si="30"/>
        <v>233.34140053610761</v>
      </c>
      <c r="C13">
        <f t="shared" si="0"/>
        <v>840.02904192998744</v>
      </c>
      <c r="D13">
        <f t="shared" si="1"/>
        <v>8477.412011446042</v>
      </c>
      <c r="E13">
        <f t="shared" si="2"/>
        <v>0.77146185547780577</v>
      </c>
      <c r="F13">
        <f t="shared" si="3"/>
        <v>4.8266967501007202E-2</v>
      </c>
      <c r="G13" s="7">
        <f t="shared" si="4"/>
        <v>22523.613030226468</v>
      </c>
      <c r="H13" s="8">
        <f t="shared" si="5"/>
        <v>15.983226115494151</v>
      </c>
      <c r="I13" s="7">
        <f t="shared" si="6"/>
        <v>22523.613030226465</v>
      </c>
      <c r="J13" s="7">
        <f t="shared" si="7"/>
        <v>51558.332728238463</v>
      </c>
      <c r="K13" s="7">
        <f t="shared" si="8"/>
        <v>69113.046552598476</v>
      </c>
      <c r="L13" s="10">
        <f t="shared" si="9"/>
        <v>0.80526674250083241</v>
      </c>
      <c r="M13">
        <f t="shared" si="10"/>
        <v>21149.345095479661</v>
      </c>
      <c r="N13">
        <f t="shared" si="11"/>
        <v>0.20335908745653519</v>
      </c>
      <c r="O13">
        <f t="shared" si="12"/>
        <v>64896.145666295844</v>
      </c>
      <c r="P13" s="7">
        <f t="shared" si="13"/>
        <v>-1374.2679347468074</v>
      </c>
      <c r="Q13" s="8">
        <f t="shared" si="14"/>
        <v>-0.21873817754767685</v>
      </c>
      <c r="R13" s="7">
        <f t="shared" si="15"/>
        <v>-4216.900886302632</v>
      </c>
      <c r="S13">
        <f t="shared" si="16"/>
        <v>-0.89076001279356765</v>
      </c>
      <c r="T13" s="13">
        <f t="shared" si="17"/>
        <v>4.8266967501007202E-2</v>
      </c>
      <c r="U13" s="13">
        <f t="shared" si="18"/>
        <v>22523.613030226465</v>
      </c>
      <c r="V13" s="14">
        <f t="shared" si="19"/>
        <v>51558.332728238456</v>
      </c>
      <c r="W13" s="14">
        <f t="shared" si="20"/>
        <v>69113.046552598462</v>
      </c>
      <c r="X13" s="14">
        <f t="shared" si="21"/>
        <v>-1374.2679347468038</v>
      </c>
      <c r="Y13" s="15">
        <f t="shared" si="22"/>
        <v>-0.2187381775476763</v>
      </c>
      <c r="Z13" s="14">
        <f t="shared" si="23"/>
        <v>-4216.9008863026174</v>
      </c>
      <c r="AA13" s="13">
        <f t="shared" si="24"/>
        <v>-0.89076001279356454</v>
      </c>
      <c r="AC13">
        <f t="shared" si="25"/>
        <v>5993.0356086307829</v>
      </c>
      <c r="AD13">
        <f t="shared" si="26"/>
        <v>7.6634793556179739</v>
      </c>
      <c r="AF13">
        <f t="shared" si="27"/>
        <v>0.66210669700033298</v>
      </c>
      <c r="AG13">
        <f t="shared" si="28"/>
        <v>5430.8790131096639</v>
      </c>
      <c r="AH13">
        <f t="shared" si="29"/>
        <v>6.9446323896169133</v>
      </c>
    </row>
    <row r="14" spans="1:34" ht="12" customHeight="1">
      <c r="B14" s="8">
        <f t="shared" si="30"/>
        <v>239.34140053610761</v>
      </c>
      <c r="C14">
        <f t="shared" si="0"/>
        <v>861.62904192998747</v>
      </c>
      <c r="D14">
        <f t="shared" si="1"/>
        <v>8918.9832124810218</v>
      </c>
      <c r="E14">
        <f t="shared" si="2"/>
        <v>0.7332674413881699</v>
      </c>
      <c r="F14">
        <f t="shared" si="3"/>
        <v>4.5344173384550837E-2</v>
      </c>
      <c r="G14" s="7">
        <f t="shared" si="4"/>
        <v>22261.86722205345</v>
      </c>
      <c r="H14" s="8">
        <f t="shared" si="5"/>
        <v>16.171150263773484</v>
      </c>
      <c r="I14" s="7">
        <f t="shared" si="6"/>
        <v>22261.867222053454</v>
      </c>
      <c r="J14" s="7">
        <f t="shared" si="7"/>
        <v>52269.50936365113</v>
      </c>
      <c r="K14" s="7">
        <f t="shared" si="8"/>
        <v>70066.366439210629</v>
      </c>
      <c r="L14" s="10">
        <f t="shared" si="9"/>
        <v>0.82597288570518568</v>
      </c>
      <c r="M14">
        <f t="shared" si="10"/>
        <v>21149.345095479661</v>
      </c>
      <c r="N14">
        <f t="shared" si="11"/>
        <v>0.20335908745653519</v>
      </c>
      <c r="O14">
        <f t="shared" si="12"/>
        <v>66564.84600452632</v>
      </c>
      <c r="P14" s="7">
        <f t="shared" si="13"/>
        <v>-1112.5221265737891</v>
      </c>
      <c r="Q14" s="8">
        <f t="shared" si="14"/>
        <v>-0.17707672033334015</v>
      </c>
      <c r="R14" s="7">
        <f t="shared" si="15"/>
        <v>-3501.5204346843093</v>
      </c>
      <c r="S14">
        <f t="shared" si="16"/>
        <v>-0.73964612194883184</v>
      </c>
      <c r="T14" s="13">
        <f t="shared" si="17"/>
        <v>4.5344173384550844E-2</v>
      </c>
      <c r="U14" s="13">
        <f t="shared" si="18"/>
        <v>22261.867222053454</v>
      </c>
      <c r="V14" s="14">
        <f t="shared" si="19"/>
        <v>52269.509363651137</v>
      </c>
      <c r="W14" s="14">
        <f t="shared" si="20"/>
        <v>70066.366439210644</v>
      </c>
      <c r="X14" s="14">
        <f t="shared" si="21"/>
        <v>-1112.5221265737928</v>
      </c>
      <c r="Y14" s="15">
        <f t="shared" si="22"/>
        <v>-0.17707672033334071</v>
      </c>
      <c r="Z14" s="14">
        <f t="shared" si="23"/>
        <v>-3501.5204346843238</v>
      </c>
      <c r="AA14" s="13">
        <f t="shared" si="24"/>
        <v>-0.73964612194883494</v>
      </c>
      <c r="AC14">
        <f t="shared" si="25"/>
        <v>6219.4123987727262</v>
      </c>
      <c r="AD14">
        <f t="shared" si="26"/>
        <v>7.753583369685864</v>
      </c>
      <c r="AF14">
        <f t="shared" si="27"/>
        <v>0.67038915428207435</v>
      </c>
      <c r="AG14">
        <f t="shared" si="28"/>
        <v>5566.3899325159737</v>
      </c>
      <c r="AH14">
        <f t="shared" si="29"/>
        <v>6.9394768577268335</v>
      </c>
    </row>
    <row r="15" spans="1:34" ht="12" customHeight="1">
      <c r="B15" s="8">
        <f t="shared" si="30"/>
        <v>245.34140053610761</v>
      </c>
      <c r="C15">
        <f t="shared" si="0"/>
        <v>883.22904192998737</v>
      </c>
      <c r="D15">
        <f t="shared" si="1"/>
        <v>9371.7645832120452</v>
      </c>
      <c r="E15">
        <f t="shared" si="2"/>
        <v>0.69784083263415753</v>
      </c>
      <c r="F15">
        <f t="shared" si="3"/>
        <v>4.2765822205823395E-2</v>
      </c>
      <c r="G15" s="7">
        <f t="shared" si="4"/>
        <v>22061.90190387957</v>
      </c>
      <c r="H15" s="8">
        <f t="shared" si="5"/>
        <v>16.317722813221934</v>
      </c>
      <c r="I15" s="7">
        <f t="shared" si="6"/>
        <v>22061.901903879567</v>
      </c>
      <c r="J15" s="7">
        <f t="shared" si="7"/>
        <v>53098.566512678612</v>
      </c>
      <c r="K15" s="7">
        <f t="shared" si="8"/>
        <v>71177.703100105384</v>
      </c>
      <c r="L15" s="10">
        <f t="shared" si="9"/>
        <v>0.84667902890953894</v>
      </c>
      <c r="M15">
        <f t="shared" si="10"/>
        <v>21149.345095479661</v>
      </c>
      <c r="N15">
        <f t="shared" si="11"/>
        <v>0.20335908745653519</v>
      </c>
      <c r="O15">
        <f t="shared" si="12"/>
        <v>68233.546342756788</v>
      </c>
      <c r="P15" s="7">
        <f t="shared" si="13"/>
        <v>-912.55680839990964</v>
      </c>
      <c r="Q15" s="8">
        <f t="shared" si="14"/>
        <v>-0.14524878088943496</v>
      </c>
      <c r="R15" s="7">
        <f t="shared" si="15"/>
        <v>-2944.1567573485954</v>
      </c>
      <c r="S15">
        <f t="shared" si="16"/>
        <v>-0.62191101511554314</v>
      </c>
      <c r="T15" s="13">
        <f t="shared" si="17"/>
        <v>5.3125863432515033E-2</v>
      </c>
      <c r="U15" s="13">
        <f t="shared" si="18"/>
        <v>27406.408368958033</v>
      </c>
      <c r="V15" s="14">
        <f t="shared" si="19"/>
        <v>65961.720072594762</v>
      </c>
      <c r="W15" s="14">
        <f t="shared" si="20"/>
        <v>88420.536290341508</v>
      </c>
      <c r="X15" s="14">
        <f t="shared" si="21"/>
        <v>-6257.0632734783721</v>
      </c>
      <c r="Y15" s="15">
        <f t="shared" si="22"/>
        <v>-0.99596605385583836</v>
      </c>
      <c r="Z15" s="14">
        <f t="shared" si="23"/>
        <v>-20186.98994758472</v>
      </c>
      <c r="AA15" s="13">
        <f t="shared" si="24"/>
        <v>-4.2642129632172958</v>
      </c>
      <c r="AC15">
        <f t="shared" si="25"/>
        <v>5178.5936050244773</v>
      </c>
      <c r="AD15">
        <f t="shared" si="26"/>
        <v>6.2981344051844106</v>
      </c>
      <c r="AF15">
        <f t="shared" si="27"/>
        <v>0.67867161156381561</v>
      </c>
      <c r="AG15">
        <f t="shared" si="28"/>
        <v>4578.2910469101289</v>
      </c>
      <c r="AH15">
        <f t="shared" si="29"/>
        <v>5.568054680235166</v>
      </c>
    </row>
    <row r="16" spans="1:34" ht="12" customHeight="1">
      <c r="B16" s="8">
        <f t="shared" si="30"/>
        <v>251.34140053610761</v>
      </c>
      <c r="C16">
        <f t="shared" si="0"/>
        <v>904.8290419299874</v>
      </c>
      <c r="D16">
        <f t="shared" si="1"/>
        <v>9835.7561236391066</v>
      </c>
      <c r="E16">
        <f t="shared" si="2"/>
        <v>0.66492091891968141</v>
      </c>
      <c r="F16">
        <f t="shared" si="3"/>
        <v>4.0484331943449962E-2</v>
      </c>
      <c r="G16" s="7">
        <f t="shared" si="4"/>
        <v>21918.936650874839</v>
      </c>
      <c r="H16" s="8">
        <f t="shared" si="5"/>
        <v>16.424154407400572</v>
      </c>
      <c r="I16" s="7">
        <f t="shared" si="6"/>
        <v>21918.936650874843</v>
      </c>
      <c r="J16" s="7">
        <f t="shared" si="7"/>
        <v>54044.626476073332</v>
      </c>
      <c r="K16" s="7">
        <f t="shared" si="8"/>
        <v>72445.879994736373</v>
      </c>
      <c r="L16" s="10">
        <f t="shared" si="9"/>
        <v>0.86738517211389221</v>
      </c>
      <c r="M16">
        <f t="shared" si="10"/>
        <v>21149.345095479661</v>
      </c>
      <c r="N16">
        <f t="shared" si="11"/>
        <v>0.20335908745653519</v>
      </c>
      <c r="O16">
        <f t="shared" si="12"/>
        <v>69902.246680987271</v>
      </c>
      <c r="P16" s="7">
        <f t="shared" si="13"/>
        <v>-769.59155539517815</v>
      </c>
      <c r="Q16" s="8">
        <f t="shared" si="14"/>
        <v>-0.12249341586620643</v>
      </c>
      <c r="R16" s="7">
        <f t="shared" si="15"/>
        <v>-2543.6333137491019</v>
      </c>
      <c r="S16">
        <f t="shared" si="16"/>
        <v>-0.53730616492718031</v>
      </c>
      <c r="T16" s="13">
        <f t="shared" si="17"/>
        <v>6.2515829610707147E-2</v>
      </c>
      <c r="U16" s="13">
        <f t="shared" si="18"/>
        <v>33847.180949608723</v>
      </c>
      <c r="V16" s="14">
        <f t="shared" si="19"/>
        <v>83455.611046563165</v>
      </c>
      <c r="W16" s="14">
        <f t="shared" si="20"/>
        <v>111870.79228761818</v>
      </c>
      <c r="X16" s="14">
        <f t="shared" si="21"/>
        <v>-12697.835854129062</v>
      </c>
      <c r="Y16" s="15">
        <f t="shared" si="22"/>
        <v>-2.0214915100473618</v>
      </c>
      <c r="Z16" s="14">
        <f t="shared" si="23"/>
        <v>-41968.545606630913</v>
      </c>
      <c r="AA16" s="13">
        <f t="shared" si="24"/>
        <v>-8.8652551315399997</v>
      </c>
      <c r="AC16">
        <f t="shared" si="25"/>
        <v>4295.7069136169848</v>
      </c>
      <c r="AD16">
        <f t="shared" si="26"/>
        <v>5.0996638014860682</v>
      </c>
      <c r="AF16">
        <f t="shared" si="27"/>
        <v>0.68695406884555688</v>
      </c>
      <c r="AG16">
        <f t="shared" si="28"/>
        <v>3751.959941807484</v>
      </c>
      <c r="AH16">
        <f t="shared" si="29"/>
        <v>4.4541526423065037</v>
      </c>
    </row>
    <row r="17" spans="1:34" ht="12" customHeight="1">
      <c r="B17" s="8">
        <f t="shared" si="30"/>
        <v>257.34140053610759</v>
      </c>
      <c r="C17">
        <f t="shared" si="0"/>
        <v>926.42904192998731</v>
      </c>
      <c r="D17">
        <f t="shared" si="1"/>
        <v>10310.957833762208</v>
      </c>
      <c r="E17">
        <f t="shared" si="2"/>
        <v>0.63427667006700561</v>
      </c>
      <c r="F17">
        <f t="shared" si="3"/>
        <v>3.8459615630728548E-2</v>
      </c>
      <c r="G17" s="7">
        <f t="shared" si="4"/>
        <v>21828.741747035448</v>
      </c>
      <c r="H17" s="8">
        <f t="shared" si="5"/>
        <v>16.49201791710653</v>
      </c>
      <c r="I17" s="7">
        <f t="shared" si="6"/>
        <v>21828.741747035452</v>
      </c>
      <c r="J17" s="7">
        <f t="shared" si="7"/>
        <v>55107.076326337636</v>
      </c>
      <c r="K17" s="7">
        <f t="shared" si="8"/>
        <v>73870.075504474036</v>
      </c>
      <c r="L17" s="10">
        <f t="shared" si="9"/>
        <v>0.88809131531824537</v>
      </c>
      <c r="M17">
        <f t="shared" si="10"/>
        <v>21149.345095479661</v>
      </c>
      <c r="N17">
        <f t="shared" si="11"/>
        <v>0.20335908745653519</v>
      </c>
      <c r="O17">
        <f t="shared" si="12"/>
        <v>71570.947019217725</v>
      </c>
      <c r="P17" s="7">
        <f t="shared" si="13"/>
        <v>-679.39665155578768</v>
      </c>
      <c r="Q17" s="8">
        <f t="shared" si="14"/>
        <v>-0.10813736456254025</v>
      </c>
      <c r="R17" s="7">
        <f t="shared" si="15"/>
        <v>-2299.1284852563113</v>
      </c>
      <c r="S17">
        <f t="shared" si="16"/>
        <v>-0.48565801619696686</v>
      </c>
      <c r="T17" s="13">
        <f t="shared" si="17"/>
        <v>7.0982525024964396E-2</v>
      </c>
      <c r="U17" s="13">
        <f t="shared" si="18"/>
        <v>40287.953530259372</v>
      </c>
      <c r="V17" s="14">
        <f t="shared" si="19"/>
        <v>101707.70976872566</v>
      </c>
      <c r="W17" s="14">
        <f t="shared" si="20"/>
        <v>136337.41255861349</v>
      </c>
      <c r="X17" s="14">
        <f t="shared" si="21"/>
        <v>-19138.608434779711</v>
      </c>
      <c r="Y17" s="15">
        <f t="shared" si="22"/>
        <v>-3.0476652547738898</v>
      </c>
      <c r="Z17" s="14">
        <f t="shared" si="23"/>
        <v>-64766.465539395766</v>
      </c>
      <c r="AA17" s="13">
        <f t="shared" si="24"/>
        <v>-13.680989719217704</v>
      </c>
      <c r="AC17">
        <f t="shared" si="25"/>
        <v>3695.1116714173977</v>
      </c>
      <c r="AD17">
        <f t="shared" si="26"/>
        <v>4.2843884671735832</v>
      </c>
      <c r="AF17">
        <f t="shared" si="27"/>
        <v>0.69523652612729814</v>
      </c>
      <c r="AG17">
        <f t="shared" si="28"/>
        <v>3188.9391876463242</v>
      </c>
      <c r="AH17">
        <f t="shared" si="29"/>
        <v>3.6974942824472157</v>
      </c>
    </row>
    <row r="18" spans="1:34" ht="12" customHeight="1">
      <c r="B18" s="8">
        <f t="shared" si="30"/>
        <v>263.34140053610759</v>
      </c>
      <c r="C18">
        <f t="shared" si="0"/>
        <v>948.02904192998733</v>
      </c>
      <c r="D18">
        <f t="shared" si="1"/>
        <v>10797.369713581356</v>
      </c>
      <c r="E18">
        <f t="shared" si="2"/>
        <v>0.60570307153359138</v>
      </c>
      <c r="F18">
        <f t="shared" si="3"/>
        <v>3.6657761939301078E-2</v>
      </c>
      <c r="G18" s="7">
        <f t="shared" si="4"/>
        <v>21787.563772353293</v>
      </c>
      <c r="H18" s="8">
        <f t="shared" si="5"/>
        <v>16.52318743671616</v>
      </c>
      <c r="I18" s="7">
        <f t="shared" si="6"/>
        <v>21787.563772353289</v>
      </c>
      <c r="J18" s="7">
        <f t="shared" si="7"/>
        <v>56285.537744777321</v>
      </c>
      <c r="K18" s="7">
        <f t="shared" si="8"/>
        <v>75449.782499701498</v>
      </c>
      <c r="L18" s="10">
        <f t="shared" si="9"/>
        <v>0.90879745852259852</v>
      </c>
      <c r="M18">
        <f t="shared" si="10"/>
        <v>21149.345095479661</v>
      </c>
      <c r="N18">
        <f t="shared" si="11"/>
        <v>0.20335908745653519</v>
      </c>
      <c r="O18">
        <f t="shared" si="12"/>
        <v>73239.647357448208</v>
      </c>
      <c r="P18" s="7">
        <f t="shared" si="13"/>
        <v>-638.21867687363192</v>
      </c>
      <c r="Q18" s="8">
        <f t="shared" si="14"/>
        <v>-0.10158319261382634</v>
      </c>
      <c r="R18" s="7">
        <f t="shared" si="15"/>
        <v>-2210.1351422532898</v>
      </c>
      <c r="S18">
        <f t="shared" si="16"/>
        <v>-0.46685944504500915</v>
      </c>
      <c r="T18" s="13">
        <f t="shared" si="17"/>
        <v>7.8621480372861471E-2</v>
      </c>
      <c r="U18" s="13">
        <f t="shared" si="18"/>
        <v>46728.726110910029</v>
      </c>
      <c r="V18" s="14">
        <f t="shared" si="19"/>
        <v>120718.01623908238</v>
      </c>
      <c r="W18" s="14">
        <f t="shared" si="20"/>
        <v>161820.39710332759</v>
      </c>
      <c r="X18" s="14">
        <f t="shared" si="21"/>
        <v>-25579.381015430368</v>
      </c>
      <c r="Y18" s="15">
        <f t="shared" si="22"/>
        <v>-4.0748184494241615</v>
      </c>
      <c r="Z18" s="14">
        <f t="shared" si="23"/>
        <v>-88580.74974587938</v>
      </c>
      <c r="AA18" s="13">
        <f t="shared" si="24"/>
        <v>-18.71141672625043</v>
      </c>
      <c r="AC18">
        <f t="shared" si="25"/>
        <v>3260.0804276391259</v>
      </c>
      <c r="AD18">
        <f t="shared" si="26"/>
        <v>3.6938572445005828</v>
      </c>
      <c r="AF18">
        <f t="shared" si="27"/>
        <v>0.7035189834090394</v>
      </c>
      <c r="AG18">
        <f t="shared" si="28"/>
        <v>2780.3773639554952</v>
      </c>
      <c r="AH18">
        <f t="shared" si="29"/>
        <v>3.150326286805742</v>
      </c>
    </row>
    <row r="19" spans="1:34" ht="12" customHeight="1">
      <c r="B19" s="8">
        <f t="shared" si="30"/>
        <v>269.34140053610759</v>
      </c>
      <c r="C19">
        <f t="shared" si="0"/>
        <v>969.62904192998735</v>
      </c>
      <c r="D19">
        <f t="shared" si="1"/>
        <v>11294.991763096543</v>
      </c>
      <c r="E19">
        <f t="shared" si="2"/>
        <v>0.57901768652614283</v>
      </c>
      <c r="F19">
        <f t="shared" si="3"/>
        <v>3.5049971408473012E-2</v>
      </c>
      <c r="G19" s="7">
        <f t="shared" si="4"/>
        <v>21792.062661769098</v>
      </c>
      <c r="H19" s="8">
        <f t="shared" si="5"/>
        <v>16.519776286783806</v>
      </c>
      <c r="I19" s="7">
        <f t="shared" si="6"/>
        <v>21792.062661769101</v>
      </c>
      <c r="J19" s="7">
        <f t="shared" si="7"/>
        <v>57579.840890115673</v>
      </c>
      <c r="K19" s="7">
        <f t="shared" si="8"/>
        <v>77184.773311147015</v>
      </c>
      <c r="L19" s="10">
        <f t="shared" si="9"/>
        <v>0.92950360172695179</v>
      </c>
      <c r="M19">
        <f t="shared" si="10"/>
        <v>21149.345095479661</v>
      </c>
      <c r="N19">
        <f t="shared" si="11"/>
        <v>0.20335908745653519</v>
      </c>
      <c r="O19">
        <f t="shared" si="12"/>
        <v>74908.347695678676</v>
      </c>
      <c r="P19" s="7">
        <f t="shared" si="13"/>
        <v>-642.71756628943695</v>
      </c>
      <c r="Q19" s="8">
        <f t="shared" si="14"/>
        <v>-0.1022992669790778</v>
      </c>
      <c r="R19" s="7">
        <f t="shared" si="15"/>
        <v>-2276.4256154683389</v>
      </c>
      <c r="S19">
        <f t="shared" si="16"/>
        <v>-0.48086235959321011</v>
      </c>
      <c r="T19" s="13">
        <f t="shared" si="17"/>
        <v>8.5516889239284077E-2</v>
      </c>
      <c r="U19" s="13">
        <f t="shared" si="18"/>
        <v>53169.498691560715</v>
      </c>
      <c r="V19" s="14">
        <f t="shared" si="19"/>
        <v>140486.53045763337</v>
      </c>
      <c r="W19" s="14">
        <f t="shared" si="20"/>
        <v>188319.74592176056</v>
      </c>
      <c r="X19" s="14">
        <f t="shared" si="21"/>
        <v>-32020.153596081054</v>
      </c>
      <c r="Y19" s="15">
        <f t="shared" si="22"/>
        <v>-5.1032851015028609</v>
      </c>
      <c r="Z19" s="14">
        <f t="shared" si="23"/>
        <v>-113411.39822608189</v>
      </c>
      <c r="AA19" s="13">
        <f t="shared" si="24"/>
        <v>-23.956536152638204</v>
      </c>
      <c r="AC19">
        <f t="shared" si="25"/>
        <v>2930.445600062088</v>
      </c>
      <c r="AD19">
        <f t="shared" si="26"/>
        <v>3.2463959171852368</v>
      </c>
      <c r="AF19">
        <f t="shared" si="27"/>
        <v>0.71180144069078077</v>
      </c>
      <c r="AG19">
        <f t="shared" si="28"/>
        <v>2470.1654977417716</v>
      </c>
      <c r="AH19">
        <f t="shared" si="29"/>
        <v>2.7364900363517486</v>
      </c>
    </row>
    <row r="20" spans="1:34" ht="12" customHeight="1">
      <c r="B20" s="8">
        <f t="shared" si="30"/>
        <v>275.34140053610759</v>
      </c>
      <c r="C20">
        <f t="shared" si="0"/>
        <v>991.22904192998737</v>
      </c>
      <c r="D20">
        <f t="shared" si="1"/>
        <v>11803.823982307773</v>
      </c>
      <c r="E20">
        <f t="shared" si="2"/>
        <v>0.55405773669638891</v>
      </c>
      <c r="F20">
        <f t="shared" si="3"/>
        <v>3.3611694449311183E-2</v>
      </c>
      <c r="G20" s="7">
        <f t="shared" si="4"/>
        <v>21839.258258354879</v>
      </c>
      <c r="H20" s="8">
        <f t="shared" si="5"/>
        <v>16.484076324445567</v>
      </c>
      <c r="I20" s="7">
        <f t="shared" si="6"/>
        <v>21839.258258354879</v>
      </c>
      <c r="J20" s="7">
        <f t="shared" si="7"/>
        <v>58990.001683702081</v>
      </c>
      <c r="K20" s="7">
        <f t="shared" si="8"/>
        <v>79075.069281101984</v>
      </c>
      <c r="L20" s="10">
        <f t="shared" si="9"/>
        <v>0.95020974493130506</v>
      </c>
      <c r="M20">
        <f t="shared" si="10"/>
        <v>21149.345095479661</v>
      </c>
      <c r="N20">
        <f t="shared" si="11"/>
        <v>0.20335908745653519</v>
      </c>
      <c r="O20">
        <f t="shared" si="12"/>
        <v>76577.048033909145</v>
      </c>
      <c r="P20" s="7">
        <f t="shared" si="13"/>
        <v>-689.9131628752184</v>
      </c>
      <c r="Q20" s="8">
        <f t="shared" si="14"/>
        <v>-0.10981124564142236</v>
      </c>
      <c r="R20" s="7">
        <f t="shared" si="15"/>
        <v>-2498.0212471928389</v>
      </c>
      <c r="S20">
        <f t="shared" si="16"/>
        <v>-0.52767126809544052</v>
      </c>
      <c r="T20" s="13">
        <f t="shared" si="17"/>
        <v>9.1743144402608945E-2</v>
      </c>
      <c r="U20" s="13">
        <f t="shared" si="18"/>
        <v>59610.271272211408</v>
      </c>
      <c r="V20" s="14">
        <f t="shared" si="19"/>
        <v>161013.25242437859</v>
      </c>
      <c r="W20" s="14">
        <f t="shared" si="20"/>
        <v>215835.45901391233</v>
      </c>
      <c r="X20" s="14">
        <f t="shared" si="21"/>
        <v>-38460.926176731751</v>
      </c>
      <c r="Y20" s="15">
        <f t="shared" si="22"/>
        <v>-6.1334030579791516</v>
      </c>
      <c r="Z20" s="14">
        <f t="shared" si="23"/>
        <v>-139258.41098000319</v>
      </c>
      <c r="AA20" s="13">
        <f t="shared" si="24"/>
        <v>-29.41634799838101</v>
      </c>
      <c r="AC20">
        <f t="shared" si="25"/>
        <v>2672.0435621964243</v>
      </c>
      <c r="AD20">
        <f t="shared" si="26"/>
        <v>2.8956292227365519</v>
      </c>
      <c r="AF20">
        <f t="shared" si="27"/>
        <v>0.72008389797252204</v>
      </c>
      <c r="AG20">
        <f t="shared" si="28"/>
        <v>2226.4435322493941</v>
      </c>
      <c r="AH20">
        <f t="shared" si="29"/>
        <v>2.4127432074702888</v>
      </c>
    </row>
    <row r="21" spans="1:34" ht="12" customHeight="1">
      <c r="B21" s="8">
        <f t="shared" si="30"/>
        <v>281.34140053610759</v>
      </c>
      <c r="C21">
        <f t="shared" si="0"/>
        <v>1012.8290419299873</v>
      </c>
      <c r="D21">
        <f t="shared" si="1"/>
        <v>12323.866371215043</v>
      </c>
      <c r="E21">
        <f t="shared" si="2"/>
        <v>0.53067761390820756</v>
      </c>
      <c r="F21">
        <f t="shared" si="3"/>
        <v>3.2321929480771033E-2</v>
      </c>
      <c r="G21" s="7">
        <f t="shared" si="4"/>
        <v>21926.48475857935</v>
      </c>
      <c r="H21" s="8">
        <f t="shared" si="5"/>
        <v>16.418500455671076</v>
      </c>
      <c r="I21" s="7">
        <f t="shared" si="6"/>
        <v>21926.484758579354</v>
      </c>
      <c r="J21" s="7">
        <f t="shared" si="7"/>
        <v>60516.202001268975</v>
      </c>
      <c r="K21" s="7">
        <f t="shared" si="8"/>
        <v>81120.914210816321</v>
      </c>
      <c r="L21" s="10">
        <f t="shared" si="9"/>
        <v>0.97091588813565832</v>
      </c>
      <c r="M21">
        <f t="shared" si="10"/>
        <v>21149.345095479661</v>
      </c>
      <c r="N21">
        <f t="shared" si="11"/>
        <v>0.20335908745653519</v>
      </c>
      <c r="O21">
        <f t="shared" si="12"/>
        <v>78245.748372139627</v>
      </c>
      <c r="P21" s="7">
        <f t="shared" si="13"/>
        <v>-777.13966309968964</v>
      </c>
      <c r="Q21" s="8">
        <f t="shared" si="14"/>
        <v>-0.12369482578140842</v>
      </c>
      <c r="R21" s="7">
        <f t="shared" si="15"/>
        <v>-2875.165838676694</v>
      </c>
      <c r="S21">
        <f t="shared" si="16"/>
        <v>-0.60733767007951456</v>
      </c>
      <c r="T21" s="13">
        <f t="shared" si="17"/>
        <v>9.7366139855509001E-2</v>
      </c>
      <c r="U21" s="13">
        <f t="shared" si="18"/>
        <v>66051.043852862087</v>
      </c>
      <c r="V21" s="14">
        <f t="shared" si="19"/>
        <v>182298.18213931797</v>
      </c>
      <c r="W21" s="14">
        <f t="shared" si="20"/>
        <v>244367.5363797828</v>
      </c>
      <c r="X21" s="14">
        <f t="shared" si="21"/>
        <v>-44901.69875738243</v>
      </c>
      <c r="Y21" s="15">
        <f t="shared" si="22"/>
        <v>-7.1655150300686765</v>
      </c>
      <c r="Z21" s="14">
        <f t="shared" si="23"/>
        <v>-166121.78800764319</v>
      </c>
      <c r="AA21" s="13">
        <f t="shared" si="24"/>
        <v>-35.090852263478823</v>
      </c>
      <c r="AC21">
        <f t="shared" si="25"/>
        <v>2464.036148342364</v>
      </c>
      <c r="AD21">
        <f t="shared" si="26"/>
        <v>2.6132704860135085</v>
      </c>
      <c r="AF21">
        <f t="shared" si="27"/>
        <v>0.72836635525426341</v>
      </c>
      <c r="AG21">
        <f t="shared" si="28"/>
        <v>2029.7775677589061</v>
      </c>
      <c r="AH21">
        <f t="shared" si="29"/>
        <v>2.1527110365507607</v>
      </c>
    </row>
    <row r="22" spans="1:34" ht="12" customHeight="1">
      <c r="B22" s="8">
        <f t="shared" si="30"/>
        <v>287.34140053610759</v>
      </c>
      <c r="C22">
        <f t="shared" si="0"/>
        <v>1034.4290419299873</v>
      </c>
      <c r="D22">
        <f t="shared" si="1"/>
        <v>12855.118929818354</v>
      </c>
      <c r="E22">
        <f t="shared" si="2"/>
        <v>0.50874675183517826</v>
      </c>
      <c r="F22">
        <f t="shared" si="3"/>
        <v>3.1162648816759789E-2</v>
      </c>
      <c r="G22" s="7">
        <f t="shared" si="4"/>
        <v>22051.351745373046</v>
      </c>
      <c r="H22" s="8">
        <f t="shared" si="5"/>
        <v>16.325529797761153</v>
      </c>
      <c r="I22" s="7">
        <f t="shared" si="6"/>
        <v>22051.351745373042</v>
      </c>
      <c r="J22" s="7">
        <f t="shared" si="7"/>
        <v>62158.772346394646</v>
      </c>
      <c r="K22" s="7">
        <f t="shared" si="8"/>
        <v>83322.75113457728</v>
      </c>
      <c r="L22" s="10">
        <f t="shared" si="9"/>
        <v>0.99162203134001159</v>
      </c>
      <c r="M22">
        <f t="shared" si="10"/>
        <v>21149.345095479661</v>
      </c>
      <c r="N22">
        <f t="shared" si="11"/>
        <v>0.20335908745653519</v>
      </c>
      <c r="O22">
        <f t="shared" si="12"/>
        <v>79914.448710370096</v>
      </c>
      <c r="P22" s="7">
        <f t="shared" si="13"/>
        <v>-902.00664989338475</v>
      </c>
      <c r="Q22" s="8">
        <f t="shared" si="14"/>
        <v>-0.14356954199419777</v>
      </c>
      <c r="R22" s="7">
        <f t="shared" si="15"/>
        <v>-3408.3024242071842</v>
      </c>
      <c r="S22">
        <f t="shared" si="16"/>
        <v>-0.71995515020346568</v>
      </c>
      <c r="T22" s="13">
        <f t="shared" si="17"/>
        <v>0.10244437818106007</v>
      </c>
      <c r="U22" s="13">
        <f t="shared" si="18"/>
        <v>72491.81643351278</v>
      </c>
      <c r="V22" s="14">
        <f t="shared" si="19"/>
        <v>204341.31960245155</v>
      </c>
      <c r="W22" s="14">
        <f t="shared" si="20"/>
        <v>273915.97801937204</v>
      </c>
      <c r="X22" s="14">
        <f t="shared" si="21"/>
        <v>-51342.471338033123</v>
      </c>
      <c r="Y22" s="15">
        <f t="shared" si="22"/>
        <v>-8.199969658296629</v>
      </c>
      <c r="Z22" s="14">
        <f t="shared" si="23"/>
        <v>-194001.52930900193</v>
      </c>
      <c r="AA22" s="13">
        <f t="shared" si="24"/>
        <v>-40.98004894793165</v>
      </c>
      <c r="AC22">
        <f t="shared" si="25"/>
        <v>2292.9909328062895</v>
      </c>
      <c r="AD22">
        <f t="shared" si="26"/>
        <v>2.3810859206346455</v>
      </c>
      <c r="AF22">
        <f t="shared" si="27"/>
        <v>0.73664881253600467</v>
      </c>
      <c r="AG22">
        <f t="shared" si="28"/>
        <v>1867.6396897287195</v>
      </c>
      <c r="AH22">
        <f t="shared" si="29"/>
        <v>1.9393930025658734</v>
      </c>
    </row>
    <row r="23" spans="1:34" ht="12" customHeight="1">
      <c r="B23" s="8">
        <f t="shared" si="30"/>
        <v>293.34140053610759</v>
      </c>
      <c r="C23">
        <f t="shared" si="0"/>
        <v>1056.0290419299874</v>
      </c>
      <c r="D23">
        <f t="shared" si="1"/>
        <v>13397.581658117708</v>
      </c>
      <c r="E23">
        <f t="shared" si="2"/>
        <v>0.48814779912443063</v>
      </c>
      <c r="F23">
        <f t="shared" si="3"/>
        <v>3.0118326982325153E-2</v>
      </c>
      <c r="G23" s="7">
        <f t="shared" si="4"/>
        <v>22211.710742289419</v>
      </c>
      <c r="H23" s="8">
        <f t="shared" si="5"/>
        <v>16.207666495250503</v>
      </c>
      <c r="I23" s="7">
        <f t="shared" si="6"/>
        <v>22211.710742289426</v>
      </c>
      <c r="J23" s="7">
        <f t="shared" si="7"/>
        <v>63918.176650346082</v>
      </c>
      <c r="K23" s="7">
        <f t="shared" si="8"/>
        <v>85681.201944163651</v>
      </c>
      <c r="L23" s="10">
        <f t="shared" si="9"/>
        <v>1.0123281745443649</v>
      </c>
      <c r="M23">
        <f t="shared" si="10"/>
        <v>21149.345095479661</v>
      </c>
      <c r="N23">
        <f t="shared" si="11"/>
        <v>0.20335908745653519</v>
      </c>
      <c r="O23">
        <f t="shared" si="12"/>
        <v>81583.149048600564</v>
      </c>
      <c r="P23" s="7">
        <f t="shared" si="13"/>
        <v>-1062.3656468097579</v>
      </c>
      <c r="Q23" s="8">
        <f t="shared" si="14"/>
        <v>-0.16909344420935415</v>
      </c>
      <c r="R23" s="7">
        <f t="shared" si="15"/>
        <v>-4098.0528955630871</v>
      </c>
      <c r="S23">
        <f t="shared" si="16"/>
        <v>-0.86565507421283927</v>
      </c>
      <c r="T23" s="13">
        <f t="shared" si="17"/>
        <v>0.10702991557349201</v>
      </c>
      <c r="U23" s="13">
        <f t="shared" si="18"/>
        <v>78932.589014163474</v>
      </c>
      <c r="V23" s="14">
        <f t="shared" si="19"/>
        <v>227142.66481377935</v>
      </c>
      <c r="W23" s="14">
        <f t="shared" si="20"/>
        <v>304480.78393268009</v>
      </c>
      <c r="X23" s="14">
        <f t="shared" si="21"/>
        <v>-57783.243918683816</v>
      </c>
      <c r="Y23" s="15">
        <f t="shared" si="22"/>
        <v>-9.2371226273514786</v>
      </c>
      <c r="Z23" s="14">
        <f t="shared" si="23"/>
        <v>-222897.63488407951</v>
      </c>
      <c r="AA23" s="13">
        <f t="shared" si="24"/>
        <v>-47.08393805173953</v>
      </c>
      <c r="AC23">
        <f t="shared" si="25"/>
        <v>2149.859747407465</v>
      </c>
      <c r="AD23">
        <f t="shared" si="26"/>
        <v>2.1867931310361035</v>
      </c>
      <c r="AF23">
        <f t="shared" si="27"/>
        <v>0.74493126981774593</v>
      </c>
      <c r="AG23">
        <f t="shared" si="28"/>
        <v>1731.5904174086666</v>
      </c>
      <c r="AH23">
        <f t="shared" si="29"/>
        <v>1.7613381687449807</v>
      </c>
    </row>
    <row r="24" spans="1:34" ht="12" customHeight="1">
      <c r="B24" s="8">
        <f t="shared" si="30"/>
        <v>299.34140053610759</v>
      </c>
      <c r="C24">
        <f t="shared" si="0"/>
        <v>1077.6290419299874</v>
      </c>
      <c r="D24">
        <f t="shared" si="1"/>
        <v>13951.254556113103</v>
      </c>
      <c r="E24">
        <f t="shared" si="2"/>
        <v>0.4687750462652357</v>
      </c>
      <c r="F24">
        <f t="shared" si="3"/>
        <v>2.9175551550349149E-2</v>
      </c>
      <c r="G24" s="7">
        <f t="shared" si="4"/>
        <v>22405.626412509428</v>
      </c>
      <c r="H24" s="8">
        <f t="shared" si="5"/>
        <v>16.067392777691147</v>
      </c>
      <c r="I24" s="7">
        <f t="shared" si="6"/>
        <v>22405.626412509428</v>
      </c>
      <c r="J24" s="7">
        <f t="shared" si="7"/>
        <v>65794.998899953978</v>
      </c>
      <c r="K24" s="7">
        <f t="shared" si="8"/>
        <v>88197.049463745279</v>
      </c>
      <c r="L24" s="10">
        <f t="shared" si="9"/>
        <v>1.033034317748718</v>
      </c>
      <c r="M24">
        <f t="shared" si="10"/>
        <v>21149.345095479661</v>
      </c>
      <c r="N24">
        <f t="shared" si="11"/>
        <v>0.20335908745653519</v>
      </c>
      <c r="O24">
        <f t="shared" si="12"/>
        <v>83251.849386831047</v>
      </c>
      <c r="P24" s="7">
        <f t="shared" si="13"/>
        <v>-1256.2813170297668</v>
      </c>
      <c r="Q24" s="8">
        <f t="shared" si="14"/>
        <v>-0.19995851547107241</v>
      </c>
      <c r="R24" s="7">
        <f t="shared" si="15"/>
        <v>-4945.2000769142323</v>
      </c>
      <c r="S24">
        <f t="shared" si="16"/>
        <v>-1.0446028025195429</v>
      </c>
      <c r="T24" s="13">
        <f t="shared" si="17"/>
        <v>0.11116917092063247</v>
      </c>
      <c r="U24" s="13">
        <f t="shared" si="18"/>
        <v>85373.361594814123</v>
      </c>
      <c r="V24" s="14">
        <f t="shared" si="19"/>
        <v>250702.21777330124</v>
      </c>
      <c r="W24" s="14">
        <f t="shared" si="20"/>
        <v>336061.95411970676</v>
      </c>
      <c r="X24" s="14">
        <f t="shared" si="21"/>
        <v>-64224.016499334466</v>
      </c>
      <c r="Y24" s="15">
        <f t="shared" si="22"/>
        <v>-10.277337841072317</v>
      </c>
      <c r="Z24" s="14">
        <f t="shared" si="23"/>
        <v>-252810.10473287571</v>
      </c>
      <c r="AA24" s="13">
        <f t="shared" si="24"/>
        <v>-53.402519574902392</v>
      </c>
      <c r="AC24">
        <f t="shared" si="25"/>
        <v>2028.3248866029105</v>
      </c>
      <c r="AD24">
        <f t="shared" si="26"/>
        <v>2.0218161759903501</v>
      </c>
      <c r="AF24">
        <f t="shared" si="27"/>
        <v>0.7532137270994872</v>
      </c>
      <c r="AG24">
        <f t="shared" si="28"/>
        <v>1615.7365275965039</v>
      </c>
      <c r="AH24">
        <f t="shared" si="29"/>
        <v>1.6105517756104049</v>
      </c>
    </row>
    <row r="25" spans="1:34" ht="12" customHeight="1">
      <c r="B25" s="8">
        <f t="shared" si="30"/>
        <v>305.34140053610759</v>
      </c>
      <c r="C25">
        <f t="shared" si="0"/>
        <v>1099.2290419299873</v>
      </c>
      <c r="D25">
        <f t="shared" si="1"/>
        <v>14516.13762380454</v>
      </c>
      <c r="E25">
        <f t="shared" si="2"/>
        <v>0.45053306667989057</v>
      </c>
      <c r="F25">
        <f t="shared" si="3"/>
        <v>2.8322700765084405E-2</v>
      </c>
      <c r="G25" s="7">
        <f t="shared" si="4"/>
        <v>22631.351679842166</v>
      </c>
      <c r="H25" s="8">
        <f t="shared" si="5"/>
        <v>15.907136484501425</v>
      </c>
      <c r="I25" s="7">
        <f t="shared" si="6"/>
        <v>22631.35167984217</v>
      </c>
      <c r="J25" s="7">
        <f t="shared" si="7"/>
        <v>67789.931342071824</v>
      </c>
      <c r="K25" s="7">
        <f t="shared" si="8"/>
        <v>90871.221638165982</v>
      </c>
      <c r="L25" s="10">
        <f t="shared" si="9"/>
        <v>1.0537404609530714</v>
      </c>
      <c r="M25">
        <f t="shared" si="10"/>
        <v>21149.345095479661</v>
      </c>
      <c r="N25">
        <f t="shared" si="11"/>
        <v>0.20335908745653519</v>
      </c>
      <c r="O25">
        <f t="shared" si="12"/>
        <v>84920.549725061515</v>
      </c>
      <c r="P25" s="7">
        <f t="shared" si="13"/>
        <v>-1482.0065843625052</v>
      </c>
      <c r="Q25" s="8">
        <f t="shared" si="14"/>
        <v>-0.23588671427999192</v>
      </c>
      <c r="R25" s="7">
        <f t="shared" si="15"/>
        <v>-5950.6719131044665</v>
      </c>
      <c r="S25">
        <f t="shared" si="16"/>
        <v>-1.2569943502027217</v>
      </c>
      <c r="T25" s="13">
        <f t="shared" si="17"/>
        <v>0.11490362065175316</v>
      </c>
      <c r="U25" s="13">
        <f t="shared" si="18"/>
        <v>91814.13417546486</v>
      </c>
      <c r="V25" s="14">
        <f t="shared" si="19"/>
        <v>275019.97848101758</v>
      </c>
      <c r="W25" s="14">
        <f t="shared" si="20"/>
        <v>368659.48858045251</v>
      </c>
      <c r="X25" s="14">
        <f t="shared" si="21"/>
        <v>-70664.789079985203</v>
      </c>
      <c r="Y25" s="15">
        <f t="shared" si="22"/>
        <v>-11.320988668940668</v>
      </c>
      <c r="Z25" s="14">
        <f t="shared" si="23"/>
        <v>-283738.938855391</v>
      </c>
      <c r="AA25" s="13">
        <f t="shared" si="24"/>
        <v>-59.935793517420343</v>
      </c>
      <c r="AC25">
        <f t="shared" si="25"/>
        <v>1923.8413960714154</v>
      </c>
      <c r="AD25">
        <f t="shared" si="26"/>
        <v>1.8799855275136297</v>
      </c>
      <c r="AF25">
        <f t="shared" si="27"/>
        <v>0.76149618438122857</v>
      </c>
      <c r="AG25">
        <f t="shared" si="28"/>
        <v>1515.8379796489808</v>
      </c>
      <c r="AH25">
        <f t="shared" si="29"/>
        <v>1.4812829527501221</v>
      </c>
    </row>
    <row r="26" spans="1:34" ht="12" customHeight="1">
      <c r="B26" s="8">
        <f t="shared" si="30"/>
        <v>311.34140053610759</v>
      </c>
      <c r="C26">
        <f t="shared" si="0"/>
        <v>1120.8290419299874</v>
      </c>
      <c r="D26">
        <f t="shared" si="1"/>
        <v>15092.230861192018</v>
      </c>
      <c r="E26">
        <f t="shared" si="2"/>
        <v>0.43333553933480295</v>
      </c>
      <c r="F26">
        <f t="shared" si="3"/>
        <v>2.7549675456671908E-2</v>
      </c>
      <c r="G26" s="7">
        <f t="shared" si="4"/>
        <v>22887.306173009616</v>
      </c>
      <c r="H26" s="8">
        <f t="shared" si="5"/>
        <v>15.729242982056942</v>
      </c>
      <c r="I26" s="7">
        <f t="shared" si="6"/>
        <v>22887.306173009616</v>
      </c>
      <c r="J26" s="7">
        <f t="shared" si="7"/>
        <v>69903.764051938488</v>
      </c>
      <c r="K26" s="7">
        <f t="shared" si="8"/>
        <v>93704.777549515406</v>
      </c>
      <c r="L26" s="10">
        <f t="shared" si="9"/>
        <v>1.0744466041574245</v>
      </c>
      <c r="M26">
        <f t="shared" si="10"/>
        <v>21149.345095479661</v>
      </c>
      <c r="N26">
        <f t="shared" si="11"/>
        <v>0.20335908745653519</v>
      </c>
      <c r="O26">
        <f t="shared" si="12"/>
        <v>86589.250063291984</v>
      </c>
      <c r="P26" s="7">
        <f t="shared" si="13"/>
        <v>-1737.9610775299552</v>
      </c>
      <c r="Q26" s="8">
        <f t="shared" si="14"/>
        <v>-0.27662654604184161</v>
      </c>
      <c r="R26" s="7">
        <f t="shared" si="15"/>
        <v>-7115.5274862234219</v>
      </c>
      <c r="S26">
        <f t="shared" si="16"/>
        <v>-1.5030534332095007</v>
      </c>
      <c r="T26" s="13">
        <f t="shared" si="17"/>
        <v>0.11827039725403356</v>
      </c>
      <c r="U26" s="13">
        <f t="shared" si="18"/>
        <v>98254.906756115495</v>
      </c>
      <c r="V26" s="14">
        <f t="shared" si="19"/>
        <v>300095.94693692779</v>
      </c>
      <c r="W26" s="14">
        <f t="shared" si="20"/>
        <v>402273.38731491659</v>
      </c>
      <c r="X26" s="14">
        <f t="shared" si="21"/>
        <v>-77105.561660635838</v>
      </c>
      <c r="Y26" s="15">
        <f t="shared" si="22"/>
        <v>-12.368459276700195</v>
      </c>
      <c r="Z26" s="14">
        <f t="shared" si="23"/>
        <v>-315684.1372516246</v>
      </c>
      <c r="AA26" s="13">
        <f t="shared" si="24"/>
        <v>-66.68375987929322</v>
      </c>
      <c r="AC26">
        <f t="shared" si="25"/>
        <v>1833.0560387561354</v>
      </c>
      <c r="AD26">
        <f t="shared" si="26"/>
        <v>1.7567493489105075</v>
      </c>
      <c r="AF26">
        <f t="shared" si="27"/>
        <v>0.76977864166296983</v>
      </c>
      <c r="AG26">
        <f t="shared" si="28"/>
        <v>1428.7660942081816</v>
      </c>
      <c r="AH26">
        <f t="shared" si="29"/>
        <v>1.3692892375777246</v>
      </c>
    </row>
    <row r="27" spans="1:34" ht="12" customHeight="1">
      <c r="B27" s="8">
        <f t="shared" si="30"/>
        <v>317.34140053610759</v>
      </c>
      <c r="C27">
        <f t="shared" si="0"/>
        <v>1142.4290419299873</v>
      </c>
      <c r="D27">
        <f t="shared" si="1"/>
        <v>15679.534268275538</v>
      </c>
      <c r="E27">
        <f t="shared" si="2"/>
        <v>0.41710422568050431</v>
      </c>
      <c r="F27">
        <f t="shared" si="3"/>
        <v>2.6847675275114294E-2</v>
      </c>
      <c r="G27" s="7">
        <f t="shared" si="4"/>
        <v>23172.057495395693</v>
      </c>
      <c r="H27" s="8">
        <f t="shared" si="5"/>
        <v>15.535953165640658</v>
      </c>
      <c r="I27" s="7">
        <f t="shared" si="6"/>
        <v>23172.057495395689</v>
      </c>
      <c r="J27" s="7">
        <f t="shared" si="7"/>
        <v>72137.375684931292</v>
      </c>
      <c r="K27" s="7">
        <f t="shared" si="8"/>
        <v>96698.89502001513</v>
      </c>
      <c r="L27" s="10">
        <f t="shared" si="9"/>
        <v>1.0951527473617779</v>
      </c>
      <c r="M27">
        <f t="shared" si="10"/>
        <v>21149.345095479661</v>
      </c>
      <c r="N27">
        <f t="shared" si="11"/>
        <v>0.20335908745653519</v>
      </c>
      <c r="O27">
        <f t="shared" si="12"/>
        <v>88257.950401522452</v>
      </c>
      <c r="P27" s="7">
        <f t="shared" si="13"/>
        <v>-2022.7123999160322</v>
      </c>
      <c r="Q27" s="8">
        <f t="shared" si="14"/>
        <v>-0.32195008428503341</v>
      </c>
      <c r="R27" s="7">
        <f t="shared" si="15"/>
        <v>-8440.9446184926783</v>
      </c>
      <c r="S27">
        <f t="shared" si="16"/>
        <v>-1.7830288496419577</v>
      </c>
      <c r="T27" s="13">
        <f t="shared" si="17"/>
        <v>0.12130280628293401</v>
      </c>
      <c r="U27" s="13">
        <f t="shared" si="18"/>
        <v>104695.67933676622</v>
      </c>
      <c r="V27" s="14">
        <f t="shared" si="19"/>
        <v>325930.12314103253</v>
      </c>
      <c r="W27" s="14">
        <f t="shared" si="20"/>
        <v>436903.65032309992</v>
      </c>
      <c r="X27" s="14">
        <f t="shared" si="21"/>
        <v>-83546.33424128656</v>
      </c>
      <c r="Y27" s="15">
        <f t="shared" si="22"/>
        <v>-13.42014605524205</v>
      </c>
      <c r="Z27" s="14">
        <f t="shared" si="23"/>
        <v>-348645.69992157747</v>
      </c>
      <c r="AA27" s="13">
        <f t="shared" si="24"/>
        <v>-73.646418660521235</v>
      </c>
      <c r="AC27">
        <f t="shared" si="25"/>
        <v>1753.4407286448075</v>
      </c>
      <c r="AD27">
        <f t="shared" si="26"/>
        <v>1.6486759010928254</v>
      </c>
      <c r="AF27">
        <f t="shared" si="27"/>
        <v>0.7780610989447112</v>
      </c>
      <c r="AG27">
        <f t="shared" si="28"/>
        <v>1352.1617243347666</v>
      </c>
      <c r="AH27">
        <f t="shared" si="29"/>
        <v>1.2713725721506455</v>
      </c>
    </row>
    <row r="28" spans="1:34" ht="12" customHeight="1">
      <c r="B28" s="8">
        <f t="shared" si="30"/>
        <v>323.34140053610759</v>
      </c>
      <c r="C28">
        <f t="shared" si="0"/>
        <v>1164.0290419299874</v>
      </c>
      <c r="D28">
        <f t="shared" si="1"/>
        <v>16278.047845055098</v>
      </c>
      <c r="E28">
        <f t="shared" si="2"/>
        <v>0.40176807822731053</v>
      </c>
      <c r="F28">
        <f t="shared" si="3"/>
        <v>2.6209011250281994E-2</v>
      </c>
      <c r="G28" s="7">
        <f t="shared" si="4"/>
        <v>23484.304904789595</v>
      </c>
      <c r="H28" s="8">
        <f t="shared" si="5"/>
        <v>15.329387071898324</v>
      </c>
      <c r="I28" s="7">
        <f t="shared" si="6"/>
        <v>23484.304904789595</v>
      </c>
      <c r="J28" s="7">
        <f t="shared" si="7"/>
        <v>74491.725257995466</v>
      </c>
      <c r="K28" s="7">
        <f t="shared" si="8"/>
        <v>99854.859595168178</v>
      </c>
      <c r="L28" s="10">
        <f t="shared" si="9"/>
        <v>1.1158588905661311</v>
      </c>
      <c r="M28">
        <f t="shared" si="10"/>
        <v>21149.345095479661</v>
      </c>
      <c r="N28">
        <f t="shared" si="11"/>
        <v>0.20335908745653519</v>
      </c>
      <c r="O28">
        <f t="shared" si="12"/>
        <v>89926.650739752935</v>
      </c>
      <c r="P28" s="7">
        <f t="shared" si="13"/>
        <v>-2334.9598093099339</v>
      </c>
      <c r="Q28" s="8">
        <f t="shared" si="14"/>
        <v>-0.37165037545593826</v>
      </c>
      <c r="R28" s="7">
        <f t="shared" si="15"/>
        <v>-9928.2088554152433</v>
      </c>
      <c r="S28">
        <f t="shared" si="16"/>
        <v>-2.097192152604987</v>
      </c>
      <c r="T28" s="13">
        <f t="shared" si="17"/>
        <v>0.12403077418850691</v>
      </c>
      <c r="U28" s="13">
        <f t="shared" si="18"/>
        <v>111136.45191741688</v>
      </c>
      <c r="V28" s="14">
        <f t="shared" si="19"/>
        <v>352522.50709333119</v>
      </c>
      <c r="W28" s="14">
        <f t="shared" si="20"/>
        <v>472550.27760500158</v>
      </c>
      <c r="X28" s="14">
        <f t="shared" si="21"/>
        <v>-89987.106821937225</v>
      </c>
      <c r="Y28" s="15">
        <f t="shared" si="22"/>
        <v>-14.476459163715262</v>
      </c>
      <c r="Z28" s="14">
        <f t="shared" si="23"/>
        <v>-382623.62686524866</v>
      </c>
      <c r="AA28" s="13">
        <f t="shared" si="24"/>
        <v>-80.823769861104168</v>
      </c>
      <c r="AC28">
        <f t="shared" si="25"/>
        <v>1683.053427841282</v>
      </c>
      <c r="AD28">
        <f t="shared" si="26"/>
        <v>1.5531289733752767</v>
      </c>
      <c r="AF28">
        <f t="shared" si="27"/>
        <v>0.78634355622645247</v>
      </c>
      <c r="AG28">
        <f t="shared" si="28"/>
        <v>1284.2122869942564</v>
      </c>
      <c r="AH28">
        <f t="shared" si="29"/>
        <v>1.1850766457566067</v>
      </c>
    </row>
    <row r="29" spans="1:34" ht="12" customHeight="1">
      <c r="B29" s="8">
        <f t="shared" si="30"/>
        <v>329.34140053610759</v>
      </c>
      <c r="C29">
        <f t="shared" si="0"/>
        <v>1185.6290419299874</v>
      </c>
      <c r="D29">
        <f t="shared" si="1"/>
        <v>16887.771591530698</v>
      </c>
      <c r="E29">
        <f t="shared" si="2"/>
        <v>0.38726246174953249</v>
      </c>
      <c r="F29">
        <f t="shared" si="3"/>
        <v>2.5626948242168109E-2</v>
      </c>
      <c r="G29" s="7">
        <f t="shared" si="4"/>
        <v>23822.865055140228</v>
      </c>
      <c r="H29" s="8">
        <f t="shared" si="5"/>
        <v>15.111532519986431</v>
      </c>
      <c r="I29" s="7">
        <f t="shared" si="6"/>
        <v>23822.865055140235</v>
      </c>
      <c r="J29" s="7">
        <f t="shared" si="7"/>
        <v>76967.844829437701</v>
      </c>
      <c r="K29" s="7">
        <f t="shared" si="8"/>
        <v>103174.05473114974</v>
      </c>
      <c r="L29" s="10">
        <f t="shared" si="9"/>
        <v>1.1365650337704842</v>
      </c>
      <c r="M29">
        <f t="shared" si="10"/>
        <v>21149.345095479661</v>
      </c>
      <c r="N29">
        <f t="shared" si="11"/>
        <v>0.20335908745653519</v>
      </c>
      <c r="O29">
        <f t="shared" si="12"/>
        <v>91595.351077983418</v>
      </c>
      <c r="P29" s="7">
        <f t="shared" si="13"/>
        <v>-2673.5199596605671</v>
      </c>
      <c r="Q29" s="8">
        <f t="shared" si="14"/>
        <v>-0.42553917186851603</v>
      </c>
      <c r="R29" s="7">
        <f t="shared" si="15"/>
        <v>-11578.703653166318</v>
      </c>
      <c r="S29">
        <f t="shared" si="16"/>
        <v>-2.4458355774329124</v>
      </c>
      <c r="T29" s="13">
        <f t="shared" si="17"/>
        <v>0.12648123723555302</v>
      </c>
      <c r="U29" s="13">
        <f t="shared" si="18"/>
        <v>117577.22449806755</v>
      </c>
      <c r="V29" s="14">
        <f t="shared" si="19"/>
        <v>379873.09879382415</v>
      </c>
      <c r="W29" s="14">
        <f t="shared" si="20"/>
        <v>509213.26916062221</v>
      </c>
      <c r="X29" s="14">
        <f t="shared" si="21"/>
        <v>-96427.879402587889</v>
      </c>
      <c r="Y29" s="15">
        <f t="shared" si="22"/>
        <v>-15.537824205010487</v>
      </c>
      <c r="Z29" s="14">
        <f t="shared" si="23"/>
        <v>-417617.91808263876</v>
      </c>
      <c r="AA29" s="13">
        <f t="shared" si="24"/>
        <v>-88.215813481042161</v>
      </c>
      <c r="AC29">
        <f t="shared" si="25"/>
        <v>1620.3776306725247</v>
      </c>
      <c r="AD29">
        <f t="shared" si="26"/>
        <v>1.4680499918919709</v>
      </c>
      <c r="AF29">
        <f t="shared" si="27"/>
        <v>0.79462601350819373</v>
      </c>
      <c r="AG29">
        <f t="shared" si="28"/>
        <v>1223.5020775512151</v>
      </c>
      <c r="AH29">
        <f t="shared" si="29"/>
        <v>1.1084837145544819</v>
      </c>
    </row>
    <row r="30" spans="1:34" ht="12" customHeight="1" thickBot="1">
      <c r="B30" s="8">
        <f t="shared" si="30"/>
        <v>335.34140053610759</v>
      </c>
      <c r="C30">
        <f t="shared" si="0"/>
        <v>1207.2290419299873</v>
      </c>
      <c r="D30">
        <f t="shared" si="1"/>
        <v>17508.705507702347</v>
      </c>
      <c r="E30">
        <f t="shared" si="2"/>
        <v>0.37352847114385207</v>
      </c>
      <c r="F30">
        <f t="shared" si="3"/>
        <v>2.509557207791234E-2</v>
      </c>
      <c r="G30" s="7">
        <f t="shared" si="4"/>
        <v>24186.659507861557</v>
      </c>
      <c r="H30" s="8">
        <f t="shared" si="5"/>
        <v>14.884238143055127</v>
      </c>
      <c r="I30" s="7">
        <f t="shared" si="6"/>
        <v>24186.659507861561</v>
      </c>
      <c r="J30" s="7">
        <f t="shared" si="7"/>
        <v>79566.83296456789</v>
      </c>
      <c r="K30" s="7">
        <f t="shared" si="8"/>
        <v>106657.9530356138</v>
      </c>
      <c r="L30" s="10">
        <f t="shared" si="9"/>
        <v>1.1572711769748376</v>
      </c>
      <c r="M30">
        <f t="shared" si="10"/>
        <v>21149.345095479661</v>
      </c>
      <c r="N30">
        <f t="shared" si="11"/>
        <v>0.20335908745653519</v>
      </c>
      <c r="O30">
        <f t="shared" si="12"/>
        <v>93264.051416213886</v>
      </c>
      <c r="P30" s="7">
        <f t="shared" si="13"/>
        <v>-3037.3144123818965</v>
      </c>
      <c r="Q30" s="8">
        <f t="shared" si="14"/>
        <v>-0.48344494623979939</v>
      </c>
      <c r="R30" s="7">
        <f>$O30-$K30</f>
        <v>-13393.901619399912</v>
      </c>
      <c r="S30">
        <f t="shared" si="16"/>
        <v>-2.8292701914351386</v>
      </c>
      <c r="T30" s="13">
        <f t="shared" si="17"/>
        <v>0.12867848011982322</v>
      </c>
      <c r="U30" s="13">
        <f t="shared" si="18"/>
        <v>124017.99707871827</v>
      </c>
      <c r="V30" s="14">
        <f t="shared" si="19"/>
        <v>407981.89824251138</v>
      </c>
      <c r="W30" s="14">
        <f t="shared" si="20"/>
        <v>546892.62498996162</v>
      </c>
      <c r="X30" s="14">
        <f t="shared" si="21"/>
        <v>-102868.65198323861</v>
      </c>
      <c r="Y30" s="15">
        <f t="shared" si="22"/>
        <v>-16.604684054390756</v>
      </c>
      <c r="Z30" s="14">
        <f t="shared" si="23"/>
        <v>-453628.57357374777</v>
      </c>
      <c r="AA30" s="13">
        <f t="shared" si="24"/>
        <v>-95.822549520335215</v>
      </c>
      <c r="AC30">
        <f t="shared" si="25"/>
        <v>1564.211865360171</v>
      </c>
      <c r="AD30">
        <f t="shared" si="26"/>
        <v>1.3918080241330439</v>
      </c>
      <c r="AF30">
        <f t="shared" si="27"/>
        <v>0.8029084707899351</v>
      </c>
      <c r="AG30">
        <f t="shared" si="28"/>
        <v>1168.9092260949001</v>
      </c>
      <c r="AH30">
        <f t="shared" si="29"/>
        <v>1.0400747343694541</v>
      </c>
    </row>
    <row r="31" spans="1:34" s="6" customFormat="1" ht="13.5" thickBot="1">
      <c r="A31" s="5"/>
      <c r="B31" s="6" t="s">
        <v>31</v>
      </c>
      <c r="D31" s="6" t="s">
        <v>32</v>
      </c>
      <c r="G31" s="6" t="s">
        <v>33</v>
      </c>
      <c r="J31" s="6" t="s">
        <v>34</v>
      </c>
      <c r="O31" s="6" t="s">
        <v>35</v>
      </c>
    </row>
    <row r="32" spans="1:34" s="1" customFormat="1" ht="23.85" customHeight="1">
      <c r="A32" s="1" t="s">
        <v>3</v>
      </c>
      <c r="B32" s="1" t="s">
        <v>4</v>
      </c>
      <c r="D32" s="1" t="s">
        <v>8</v>
      </c>
      <c r="E32" s="1" t="s">
        <v>96</v>
      </c>
      <c r="G32" s="1" t="s">
        <v>71</v>
      </c>
      <c r="J32" s="1" t="s">
        <v>13</v>
      </c>
      <c r="K32" s="1" t="s">
        <v>14</v>
      </c>
      <c r="L32" s="1" t="s">
        <v>15</v>
      </c>
      <c r="M32" s="11" t="str">
        <f>SL!M32</f>
        <v>MDD</v>
      </c>
      <c r="N32" s="11"/>
      <c r="O32" s="1" t="s">
        <v>58</v>
      </c>
      <c r="P32" s="1" t="s">
        <v>16</v>
      </c>
      <c r="Q32" s="1" t="s">
        <v>70</v>
      </c>
      <c r="R32" s="1" t="s">
        <v>60</v>
      </c>
      <c r="S32" s="1" t="s">
        <v>94</v>
      </c>
    </row>
    <row r="33" spans="1:20">
      <c r="A33">
        <f>SL!A33</f>
        <v>540</v>
      </c>
      <c r="B33">
        <f>SL!B33</f>
        <v>65</v>
      </c>
      <c r="D33">
        <f>SL!D33</f>
        <v>360000</v>
      </c>
      <c r="E33">
        <f>SL!$E$33</f>
        <v>90000</v>
      </c>
      <c r="G33">
        <v>40000</v>
      </c>
      <c r="J33">
        <f>SL!J33</f>
        <v>1.7999999999999999E-2</v>
      </c>
      <c r="K33">
        <f>SL!K33</f>
        <v>0.8</v>
      </c>
      <c r="L33">
        <f>SL!L33</f>
        <v>1.5</v>
      </c>
      <c r="M33">
        <f>SL!M33</f>
        <v>0.83</v>
      </c>
      <c r="O33">
        <f>SL!O33</f>
        <v>26000</v>
      </c>
      <c r="P33">
        <f>SL!P33</f>
        <v>4</v>
      </c>
      <c r="Q33">
        <f>SL!Q33</f>
        <v>1</v>
      </c>
      <c r="R33">
        <f>SL!R33</f>
        <v>0.8</v>
      </c>
      <c r="S33">
        <f>SL!$S$33</f>
        <v>0.6</v>
      </c>
    </row>
    <row r="34" spans="1:20" s="3" customFormat="1" ht="20.85" customHeight="1">
      <c r="A34" s="3" t="s">
        <v>5</v>
      </c>
      <c r="D34" s="3" t="s">
        <v>9</v>
      </c>
      <c r="E34" s="3" t="s">
        <v>10</v>
      </c>
      <c r="F34" s="3" t="s">
        <v>72</v>
      </c>
      <c r="G34" s="3" t="s">
        <v>6</v>
      </c>
      <c r="H34" s="3" t="s">
        <v>7</v>
      </c>
      <c r="J34" s="3" t="s">
        <v>30</v>
      </c>
      <c r="O34" s="3" t="s">
        <v>59</v>
      </c>
      <c r="Q34" s="3" t="s">
        <v>61</v>
      </c>
      <c r="R34" s="3" t="s">
        <v>62</v>
      </c>
      <c r="T34" s="3" t="s">
        <v>103</v>
      </c>
    </row>
    <row r="35" spans="1:20">
      <c r="A35">
        <f>B33^2/A33</f>
        <v>7.8240740740740744</v>
      </c>
      <c r="D35">
        <f>D33/A33</f>
        <v>666.66666666666663</v>
      </c>
      <c r="E35">
        <f>D35*9.81</f>
        <v>6540</v>
      </c>
      <c r="F35">
        <f>$G$33*0.3048</f>
        <v>12192</v>
      </c>
      <c r="G35">
        <f>288-6.5*$F$35/1000</f>
        <v>208.75200000000001</v>
      </c>
      <c r="H35">
        <f>G35/288</f>
        <v>0.72483333333333333</v>
      </c>
      <c r="J35">
        <f>1/(3.1415*$A$35*$K$33)</f>
        <v>5.0855742037073826E-2</v>
      </c>
      <c r="O35">
        <f>$O$33*$P$33</f>
        <v>104000</v>
      </c>
      <c r="Q35">
        <f>$O$35*$Q$33</f>
        <v>104000</v>
      </c>
      <c r="R35">
        <f>$Q$35*$R$33</f>
        <v>83200</v>
      </c>
      <c r="T35">
        <f>R35*G37</f>
        <v>21149.345095479661</v>
      </c>
    </row>
    <row r="36" spans="1:20" s="3" customFormat="1" ht="20.85" customHeight="1">
      <c r="G36" s="3" t="s">
        <v>11</v>
      </c>
      <c r="H36" s="3" t="s">
        <v>12</v>
      </c>
      <c r="J36" s="3" t="s">
        <v>63</v>
      </c>
      <c r="M36" s="3" t="s">
        <v>86</v>
      </c>
    </row>
    <row r="37" spans="1:20">
      <c r="G37">
        <f>$H$35^4.256</f>
        <v>0.25419885932066899</v>
      </c>
      <c r="H37">
        <f>1.225*$G$37</f>
        <v>0.31139360266781951</v>
      </c>
      <c r="J37">
        <f>340.3*(1-2.255*0.00001*$F$35)^0.5</f>
        <v>289.76907678000424</v>
      </c>
      <c r="M37">
        <f>P57</f>
        <v>22218.29433863231</v>
      </c>
    </row>
    <row r="38" spans="1:20" s="4" customFormat="1" ht="20.100000000000001" customHeight="1"/>
    <row r="39" spans="1:20">
      <c r="A39" t="s">
        <v>21</v>
      </c>
      <c r="B39">
        <f>SQRT(3.1415*$A$35*$K$33/(4*$J$33))</f>
        <v>16.525848004364995</v>
      </c>
      <c r="C39" t="s">
        <v>18</v>
      </c>
      <c r="D39">
        <f>$L$33</f>
        <v>1.5</v>
      </c>
      <c r="E39" t="s">
        <v>22</v>
      </c>
      <c r="F39">
        <f>3.6*SQRT((2/$H$37)*($E$35)*(1/$D39))</f>
        <v>602.42904192998742</v>
      </c>
      <c r="H39" t="s">
        <v>36</v>
      </c>
      <c r="I39">
        <f>$J$33+$J$35*$D39^2</f>
        <v>0.13242541958341611</v>
      </c>
      <c r="K39" t="s">
        <v>26</v>
      </c>
      <c r="L39">
        <f>$D39/$I39</f>
        <v>11.327130430990517</v>
      </c>
      <c r="M39" t="s">
        <v>40</v>
      </c>
      <c r="O39">
        <f>$D$33/$L39</f>
        <v>31782.100700019862</v>
      </c>
      <c r="Q39" t="s">
        <v>46</v>
      </c>
      <c r="R39">
        <f>($O39*$F39*9.81/3.6)/746</f>
        <v>69938.478277501767</v>
      </c>
    </row>
    <row r="40" spans="1:20">
      <c r="C40" t="s">
        <v>17</v>
      </c>
      <c r="D40">
        <f>$D$41*SQRT(3)</f>
        <v>1.0304499017419528</v>
      </c>
      <c r="E40" t="s">
        <v>23</v>
      </c>
      <c r="F40">
        <f>3.6*SQRT((2/$H$37)*($E$35)*(1/$D40))</f>
        <v>726.83877646149517</v>
      </c>
      <c r="H40" t="s">
        <v>37</v>
      </c>
      <c r="I40">
        <f>$J$33+$J$35*$D40^2</f>
        <v>7.2000000000000008E-2</v>
      </c>
      <c r="K40" t="s">
        <v>27</v>
      </c>
      <c r="L40">
        <f>$D40/$I40</f>
        <v>14.311804190860455</v>
      </c>
      <c r="M40" t="s">
        <v>41</v>
      </c>
      <c r="O40">
        <f>$D$33/$L40</f>
        <v>25154.061304856077</v>
      </c>
      <c r="Q40" t="s">
        <v>47</v>
      </c>
      <c r="R40">
        <f>($O40*$F40*9.81/3.6)/746</f>
        <v>66784.223809069517</v>
      </c>
    </row>
    <row r="41" spans="1:20">
      <c r="C41" t="s">
        <v>20</v>
      </c>
      <c r="D41">
        <f>SQRT(3.1415*$A$35*$K$33*$J$33)</f>
        <v>0.59493052815713987</v>
      </c>
      <c r="E41" t="s">
        <v>24</v>
      </c>
      <c r="F41">
        <f>3.6*SQRT((2/$H$37)*($E$35)*(1/$D41))</f>
        <v>956.57362530715932</v>
      </c>
      <c r="H41" t="s">
        <v>39</v>
      </c>
      <c r="I41">
        <f>$J$33+$J$35*$D41^2</f>
        <v>3.6000000000000004E-2</v>
      </c>
      <c r="K41" t="s">
        <v>28</v>
      </c>
      <c r="L41">
        <f>$D41/$I41</f>
        <v>16.525848004364995</v>
      </c>
      <c r="M41" t="s">
        <v>42</v>
      </c>
      <c r="O41">
        <f>$D$33/$L41</f>
        <v>21784.056098356508</v>
      </c>
      <c r="Q41" t="s">
        <v>44</v>
      </c>
      <c r="R41">
        <f>($O41*$F41*9.81/3.6)/746</f>
        <v>76117.554733010606</v>
      </c>
    </row>
    <row r="42" spans="1:20">
      <c r="C42" t="s">
        <v>19</v>
      </c>
      <c r="D42">
        <f>$D$41/SQRT(3)</f>
        <v>0.34348330058065096</v>
      </c>
      <c r="E42" t="s">
        <v>25</v>
      </c>
      <c r="F42">
        <f>3.6*SQRT((2/$H$37)*($E$35)*(1/$D42))</f>
        <v>1258.9216897425072</v>
      </c>
      <c r="H42" t="s">
        <v>38</v>
      </c>
      <c r="I42">
        <f>$J$33+$J$35*$D42^2</f>
        <v>2.4E-2</v>
      </c>
      <c r="K42" t="s">
        <v>29</v>
      </c>
      <c r="L42">
        <f>$D42/$I42</f>
        <v>14.311804190860457</v>
      </c>
      <c r="M42" t="s">
        <v>43</v>
      </c>
      <c r="O42">
        <f>$D$33/$L42</f>
        <v>25154.061304856074</v>
      </c>
      <c r="Q42" t="s">
        <v>45</v>
      </c>
      <c r="R42">
        <f>($O42*$F42*9.81/3.6)/746</f>
        <v>115673.66878135948</v>
      </c>
    </row>
    <row r="44" spans="1:20">
      <c r="A44" t="s">
        <v>54</v>
      </c>
      <c r="B44" t="s">
        <v>49</v>
      </c>
      <c r="C44" t="s">
        <v>50</v>
      </c>
      <c r="E44" t="s">
        <v>50</v>
      </c>
    </row>
    <row r="45" spans="1:20">
      <c r="A45">
        <v>0.1</v>
      </c>
      <c r="B45">
        <v>0</v>
      </c>
      <c r="C45">
        <f>$J$33+$J$35*$B45^2</f>
        <v>1.7999999999999999E-2</v>
      </c>
      <c r="E45">
        <f>$J$33+$J$35*$B45^2</f>
        <v>1.7999999999999999E-2</v>
      </c>
    </row>
    <row r="46" spans="1:20">
      <c r="B46">
        <f>B45+$A$45</f>
        <v>0.1</v>
      </c>
      <c r="C46">
        <f t="shared" ref="C46:E63" si="31">$J$33+$J$35*$B46^2</f>
        <v>1.8508557420370737E-2</v>
      </c>
      <c r="E46">
        <f t="shared" si="31"/>
        <v>1.8508557420370737E-2</v>
      </c>
      <c r="H46" s="9"/>
    </row>
    <row r="47" spans="1:20">
      <c r="B47">
        <f t="shared" ref="B47:B63" si="32">B46+$A$45</f>
        <v>0.2</v>
      </c>
      <c r="C47">
        <f t="shared" si="31"/>
        <v>2.0034229681482951E-2</v>
      </c>
      <c r="E47">
        <f t="shared" si="31"/>
        <v>2.0034229681482951E-2</v>
      </c>
      <c r="H47" s="9"/>
      <c r="J47" t="s">
        <v>74</v>
      </c>
      <c r="K47">
        <f>$R$35/$D$33</f>
        <v>0.2311111111111111</v>
      </c>
    </row>
    <row r="48" spans="1:20">
      <c r="B48">
        <f t="shared" si="32"/>
        <v>0.30000000000000004</v>
      </c>
      <c r="C48">
        <f t="shared" si="31"/>
        <v>2.2577016783336644E-2</v>
      </c>
      <c r="E48">
        <f t="shared" si="31"/>
        <v>2.2577016783336644E-2</v>
      </c>
      <c r="H48" s="9"/>
      <c r="J48" t="s">
        <v>75</v>
      </c>
      <c r="K48">
        <f>(1+SQRT(1-1/(($K$47^2)*($B$39^2))))</f>
        <v>1.9651146612052111</v>
      </c>
    </row>
    <row r="49" spans="2:17">
      <c r="B49">
        <f t="shared" si="32"/>
        <v>0.4</v>
      </c>
      <c r="C49">
        <f t="shared" si="31"/>
        <v>2.613691872593181E-2</v>
      </c>
      <c r="E49">
        <f t="shared" si="31"/>
        <v>2.613691872593181E-2</v>
      </c>
      <c r="H49" s="9"/>
      <c r="J49" t="s">
        <v>76</v>
      </c>
      <c r="K49">
        <f>SQRT(($K$47*$E$35)*$K$48/($H$37*$J$33))</f>
        <v>727.9509870364808</v>
      </c>
      <c r="L49" t="s">
        <v>77</v>
      </c>
      <c r="O49" t="s">
        <v>78</v>
      </c>
      <c r="P49">
        <f>$K$49*3.6</f>
        <v>2620.6235533313311</v>
      </c>
    </row>
    <row r="50" spans="2:17">
      <c r="B50">
        <f t="shared" si="32"/>
        <v>0.5</v>
      </c>
      <c r="C50">
        <f t="shared" si="31"/>
        <v>3.0713935509268455E-2</v>
      </c>
      <c r="E50">
        <f t="shared" si="31"/>
        <v>3.0713935509268455E-2</v>
      </c>
      <c r="H50" s="9"/>
    </row>
    <row r="51" spans="2:17">
      <c r="B51">
        <f t="shared" si="32"/>
        <v>0.6</v>
      </c>
      <c r="C51">
        <f t="shared" si="31"/>
        <v>3.6308067133346576E-2</v>
      </c>
      <c r="E51">
        <f t="shared" si="31"/>
        <v>3.6308067133346576E-2</v>
      </c>
      <c r="O51" t="s">
        <v>79</v>
      </c>
      <c r="P51">
        <f>$K$49/$J$37</f>
        <v>2.5121762305546111</v>
      </c>
    </row>
    <row r="52" spans="2:17">
      <c r="B52">
        <f t="shared" si="32"/>
        <v>0.7</v>
      </c>
      <c r="C52">
        <f t="shared" si="31"/>
        <v>4.291931359816617E-2</v>
      </c>
      <c r="E52">
        <f t="shared" si="31"/>
        <v>4.291931359816617E-2</v>
      </c>
    </row>
    <row r="53" spans="2:17">
      <c r="B53">
        <f t="shared" si="32"/>
        <v>0.79999999999999993</v>
      </c>
      <c r="C53">
        <f t="shared" si="31"/>
        <v>5.0547674903727247E-2</v>
      </c>
      <c r="E53">
        <f t="shared" si="31"/>
        <v>5.0547674903727247E-2</v>
      </c>
      <c r="J53" t="s">
        <v>80</v>
      </c>
      <c r="K53">
        <f>$M$33*$J$37</f>
        <v>240.50833372740351</v>
      </c>
      <c r="L53" t="s">
        <v>77</v>
      </c>
      <c r="O53" t="s">
        <v>80</v>
      </c>
      <c r="P53">
        <f>$K$53*3.6</f>
        <v>865.83000141865261</v>
      </c>
      <c r="Q53" t="s">
        <v>81</v>
      </c>
    </row>
    <row r="54" spans="2:17">
      <c r="B54">
        <f t="shared" si="32"/>
        <v>0.89999999999999991</v>
      </c>
      <c r="C54">
        <f t="shared" si="31"/>
        <v>5.9193151050029785E-2</v>
      </c>
      <c r="E54">
        <f t="shared" si="31"/>
        <v>5.9193151050029785E-2</v>
      </c>
      <c r="J54" t="s">
        <v>82</v>
      </c>
      <c r="K54">
        <f>0.5*$H$37*($K$53)^2</f>
        <v>9006.1660383576345</v>
      </c>
      <c r="L54" t="s">
        <v>83</v>
      </c>
    </row>
    <row r="55" spans="2:17">
      <c r="B55">
        <f t="shared" si="32"/>
        <v>0.99999999999999989</v>
      </c>
      <c r="C55">
        <f t="shared" si="31"/>
        <v>6.8855742037073814E-2</v>
      </c>
      <c r="E55">
        <f t="shared" si="31"/>
        <v>6.8855742037073814E-2</v>
      </c>
      <c r="J55" t="s">
        <v>84</v>
      </c>
      <c r="K55">
        <f>(D33*9.81)/(K54*A33)</f>
        <v>0.72616915701374696</v>
      </c>
    </row>
    <row r="56" spans="2:17">
      <c r="B56">
        <f t="shared" si="32"/>
        <v>1.0999999999999999</v>
      </c>
      <c r="C56">
        <f t="shared" si="31"/>
        <v>7.9535447864859318E-2</v>
      </c>
      <c r="E56">
        <f t="shared" si="31"/>
        <v>7.9535447864859318E-2</v>
      </c>
      <c r="J56" t="s">
        <v>85</v>
      </c>
      <c r="K56">
        <f>J33+J35*(K55)^2</f>
        <v>4.4817333528244255E-2</v>
      </c>
    </row>
    <row r="57" spans="2:17">
      <c r="B57">
        <f t="shared" si="32"/>
        <v>1.2</v>
      </c>
      <c r="C57">
        <f t="shared" si="31"/>
        <v>9.1232268533386313E-2</v>
      </c>
      <c r="E57">
        <f t="shared" si="31"/>
        <v>9.1232268533386313E-2</v>
      </c>
      <c r="J57" t="s">
        <v>86</v>
      </c>
      <c r="K57">
        <f>K54*A33*K56</f>
        <v>217961.46746198297</v>
      </c>
      <c r="L57" t="s">
        <v>87</v>
      </c>
      <c r="O57" t="s">
        <v>86</v>
      </c>
      <c r="P57">
        <f>K57/9.81</f>
        <v>22218.29433863231</v>
      </c>
      <c r="Q57" t="s">
        <v>88</v>
      </c>
    </row>
    <row r="58" spans="2:17">
      <c r="B58">
        <f t="shared" si="32"/>
        <v>1.3</v>
      </c>
      <c r="C58">
        <f t="shared" si="31"/>
        <v>0.10394620404265477</v>
      </c>
      <c r="E58">
        <f t="shared" si="31"/>
        <v>0.10394620404265477</v>
      </c>
    </row>
    <row r="59" spans="2:17">
      <c r="B59">
        <f>B58+$A$45</f>
        <v>1.4000000000000001</v>
      </c>
      <c r="C59">
        <f t="shared" si="31"/>
        <v>0.11767725439266472</v>
      </c>
      <c r="E59">
        <f t="shared" si="31"/>
        <v>0.11767725439266472</v>
      </c>
      <c r="J59" t="s">
        <v>89</v>
      </c>
      <c r="K59">
        <f>($R$35-$P$57)/(14*$P$57)</f>
        <v>0.19604727762991966</v>
      </c>
    </row>
    <row r="60" spans="2:17">
      <c r="B60">
        <f t="shared" si="32"/>
        <v>1.5000000000000002</v>
      </c>
      <c r="C60">
        <f t="shared" si="31"/>
        <v>0.13242541958341614</v>
      </c>
      <c r="E60">
        <f t="shared" si="31"/>
        <v>0.13242541958341614</v>
      </c>
      <c r="J60" t="s">
        <v>90</v>
      </c>
      <c r="K60">
        <f>M33+K59</f>
        <v>1.0260472776299197</v>
      </c>
    </row>
    <row r="61" spans="2:17">
      <c r="B61">
        <f t="shared" si="32"/>
        <v>1.6000000000000003</v>
      </c>
      <c r="C61">
        <f t="shared" si="31"/>
        <v>0.14819069961490902</v>
      </c>
      <c r="E61">
        <f t="shared" si="31"/>
        <v>0.14819069961490902</v>
      </c>
    </row>
    <row r="62" spans="2:17">
      <c r="B62">
        <f t="shared" si="32"/>
        <v>1.7000000000000004</v>
      </c>
      <c r="C62">
        <f t="shared" si="31"/>
        <v>0.16497309448714342</v>
      </c>
      <c r="E62">
        <f t="shared" si="31"/>
        <v>0.16497309448714342</v>
      </c>
    </row>
    <row r="63" spans="2:17">
      <c r="B63">
        <f t="shared" si="32"/>
        <v>1.8000000000000005</v>
      </c>
      <c r="C63">
        <f t="shared" si="31"/>
        <v>0.18277260420011926</v>
      </c>
      <c r="E63">
        <f t="shared" si="31"/>
        <v>0.18277260420011926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D63"/>
  <sheetViews>
    <sheetView zoomScale="75" workbookViewId="0">
      <selection activeCell="T35" sqref="T35"/>
    </sheetView>
  </sheetViews>
  <sheetFormatPr defaultRowHeight="12.75"/>
  <cols>
    <col min="1" max="1" width="6.7109375" customWidth="1"/>
    <col min="2" max="2" width="7.5703125" customWidth="1"/>
    <col min="3" max="3" width="8.7109375" customWidth="1"/>
    <col min="4" max="4" width="9.85546875" customWidth="1"/>
    <col min="6" max="6" width="7.5703125" customWidth="1"/>
    <col min="7" max="7" width="7.85546875" customWidth="1"/>
    <col min="8" max="8" width="6.28515625" customWidth="1"/>
    <col min="9" max="9" width="8.85546875" customWidth="1"/>
    <col min="10" max="10" width="7.42578125" customWidth="1"/>
    <col min="11" max="11" width="7.5703125" customWidth="1"/>
    <col min="12" max="12" width="6.28515625" customWidth="1"/>
    <col min="13" max="14" width="6.85546875" customWidth="1"/>
    <col min="15" max="15" width="7.5703125" customWidth="1"/>
    <col min="16" max="16" width="9.42578125" customWidth="1"/>
    <col min="17" max="17" width="7" customWidth="1"/>
    <col min="18" max="18" width="7.5703125" customWidth="1"/>
  </cols>
  <sheetData>
    <row r="1" spans="1:30" s="2" customFormat="1" ht="25.5" customHeight="1">
      <c r="A1" s="2" t="s">
        <v>2</v>
      </c>
      <c r="B1" s="2" t="s">
        <v>0</v>
      </c>
      <c r="C1" s="2" t="s">
        <v>1</v>
      </c>
      <c r="D1" s="2" t="s">
        <v>48</v>
      </c>
      <c r="E1" s="2" t="s">
        <v>49</v>
      </c>
      <c r="F1" s="2" t="s">
        <v>50</v>
      </c>
      <c r="G1" s="2" t="s">
        <v>51</v>
      </c>
      <c r="H1" s="2" t="s">
        <v>52</v>
      </c>
      <c r="I1" s="2" t="s">
        <v>53</v>
      </c>
      <c r="J1" s="2" t="s">
        <v>55</v>
      </c>
      <c r="K1" s="2" t="s">
        <v>56</v>
      </c>
      <c r="L1" s="2" t="s">
        <v>64</v>
      </c>
      <c r="M1" s="2" t="s">
        <v>65</v>
      </c>
      <c r="N1" s="2" t="s">
        <v>98</v>
      </c>
      <c r="O1" s="2" t="s">
        <v>66</v>
      </c>
      <c r="P1" s="2" t="s">
        <v>67</v>
      </c>
      <c r="Q1" s="2" t="s">
        <v>68</v>
      </c>
      <c r="R1" s="2" t="s">
        <v>69</v>
      </c>
      <c r="S1" s="2" t="s">
        <v>57</v>
      </c>
      <c r="T1" s="12" t="s">
        <v>85</v>
      </c>
      <c r="U1" s="12" t="s">
        <v>91</v>
      </c>
      <c r="V1" s="12" t="s">
        <v>93</v>
      </c>
      <c r="W1" s="12" t="s">
        <v>56</v>
      </c>
      <c r="X1" s="12" t="s">
        <v>67</v>
      </c>
      <c r="Y1" s="12" t="s">
        <v>68</v>
      </c>
      <c r="Z1" s="12" t="s">
        <v>69</v>
      </c>
      <c r="AA1" s="12" t="s">
        <v>57</v>
      </c>
      <c r="AC1" s="2" t="s">
        <v>95</v>
      </c>
      <c r="AD1" s="2" t="s">
        <v>97</v>
      </c>
    </row>
    <row r="2" spans="1:30" ht="12" customHeight="1">
      <c r="A2">
        <f>SL!A2</f>
        <v>6</v>
      </c>
      <c r="B2" s="8">
        <f>$F$39/3.6</f>
        <v>185.58101080953676</v>
      </c>
      <c r="C2">
        <f>$B2*3.6</f>
        <v>668.09163891433241</v>
      </c>
      <c r="D2">
        <f>0.5*$H$37*($B2)^2</f>
        <v>4359.9999999999991</v>
      </c>
      <c r="E2">
        <f>(2/$H$37)*($E$35)*(1/$B2)^2</f>
        <v>1.5000000000000002</v>
      </c>
      <c r="F2">
        <f>$J$33+$J$35*($E2)^2</f>
        <v>0.13242541958341614</v>
      </c>
      <c r="G2" s="7">
        <f>($F2*$D2*$A$33)/9.81</f>
        <v>31782.100700019862</v>
      </c>
      <c r="H2" s="8">
        <f>$E2/$F2</f>
        <v>11.327130430990515</v>
      </c>
      <c r="I2" s="7">
        <f>$D$33/$H2</f>
        <v>31782.10070001987</v>
      </c>
      <c r="J2" s="7">
        <f>$G2*9.81*$B2/1000</f>
        <v>57860.894404625287</v>
      </c>
      <c r="K2" s="7">
        <f>$J2/0.746</f>
        <v>77561.520649631755</v>
      </c>
      <c r="L2" s="10">
        <f>$B2/$J$37</f>
        <v>0.6561838515606403</v>
      </c>
      <c r="M2">
        <f>$R$35*$G$37</f>
        <v>17196.364847293382</v>
      </c>
      <c r="N2">
        <f>M2/$O$35</f>
        <v>0.16534966199320558</v>
      </c>
      <c r="O2">
        <f>$M2*9.81*$B2/746</f>
        <v>41966.269624245251</v>
      </c>
      <c r="P2" s="7">
        <f>$M2-$G2</f>
        <v>-14585.735852726481</v>
      </c>
      <c r="Q2" s="8">
        <f>57.3*ASIN($P2/$D$33)</f>
        <v>-2.3221985829308296</v>
      </c>
      <c r="R2" s="7">
        <f>$O2-$K2</f>
        <v>-35595.251025386504</v>
      </c>
      <c r="S2">
        <f>$R2*746/($D$33*9.81)</f>
        <v>-7.5189877859718912</v>
      </c>
      <c r="T2" s="13">
        <f>U2*9.81/(D2*$A$33)</f>
        <v>0.13242541958341614</v>
      </c>
      <c r="U2" s="13">
        <f>IF(L2&lt;$M$33,I2,$M$37+$M$37*14*(L2-$M$33))</f>
        <v>31782.10070001987</v>
      </c>
      <c r="V2" s="14">
        <f>$U2*9.81*$B2/1000</f>
        <v>57860.894404625295</v>
      </c>
      <c r="W2" s="14">
        <f>$V2/0.746</f>
        <v>77561.52064963177</v>
      </c>
      <c r="X2" s="14">
        <f>$M2-$U2</f>
        <v>-14585.735852726488</v>
      </c>
      <c r="Y2" s="15">
        <f>57.3*ASIN($X2/$D$33)</f>
        <v>-2.3221985829308309</v>
      </c>
      <c r="Z2" s="14">
        <f>$O2-$W2</f>
        <v>-35595.251025386518</v>
      </c>
      <c r="AA2" s="13">
        <f>$Z2*746/($D$33*9.81)</f>
        <v>-7.5189877859718948</v>
      </c>
      <c r="AC2">
        <f>11.27*(2/$S$33)*SQRT(2/($H$37*$A$33))*(SQRT(E2))*(1/T2)*(SQRT($D$33)-SQRT($D$33-$E$33))</f>
        <v>3377.8787137688473</v>
      </c>
      <c r="AD2">
        <f>(1/$S$33)*(E2/T2)*LN($D$33/($D$33-$E$33))</f>
        <v>5.431020595531642</v>
      </c>
    </row>
    <row r="3" spans="1:30" ht="12" customHeight="1">
      <c r="B3" s="8">
        <f>B2+$A$2</f>
        <v>191.58101080953676</v>
      </c>
      <c r="C3">
        <f t="shared" ref="C3:C30" si="0">$B3*3.6</f>
        <v>689.69163891433232</v>
      </c>
      <c r="D3">
        <f t="shared" ref="D3:D30" si="1">0.5*$H$37*($B3)^2</f>
        <v>4646.4828462604373</v>
      </c>
      <c r="E3">
        <f t="shared" ref="E3:E30" si="2">(2/$H$37)*($E$35)*(1/$B3)^2</f>
        <v>1.4075162260124332</v>
      </c>
      <c r="F3">
        <f t="shared" ref="F3:F30" si="3">$J$33+$J$35*($E3)^2</f>
        <v>0.11875040852263812</v>
      </c>
      <c r="G3" s="7">
        <f t="shared" ref="G3:G30" si="4">($F3*$D3*$A$33)/9.81</f>
        <v>30372.756120377457</v>
      </c>
      <c r="H3" s="8">
        <f t="shared" ref="H3:H30" si="5">$E3/$F3</f>
        <v>11.852727443410098</v>
      </c>
      <c r="I3" s="7">
        <f t="shared" ref="I3:I30" si="6">$D$33/$H3</f>
        <v>30372.756120377468</v>
      </c>
      <c r="J3" s="7">
        <f t="shared" ref="J3:J30" si="7">$G3*9.81*$B3/1000</f>
        <v>57082.85295559802</v>
      </c>
      <c r="K3" s="7">
        <f t="shared" ref="K3:K30" si="8">$J3/0.746</f>
        <v>76518.569645573749</v>
      </c>
      <c r="L3" s="10">
        <f t="shared" ref="L3:L30" si="9">$B3/$J$37</f>
        <v>0.67739886214922107</v>
      </c>
      <c r="M3">
        <f t="shared" ref="M3:M30" si="10">$R$35*$G$37</f>
        <v>17196.364847293382</v>
      </c>
      <c r="N3">
        <f t="shared" ref="N3:N30" si="11">M3/$O$35</f>
        <v>0.16534966199320558</v>
      </c>
      <c r="O3">
        <f t="shared" ref="O3:O30" si="12">$M3*9.81*$B3/746</f>
        <v>43323.076641553147</v>
      </c>
      <c r="P3" s="7">
        <f t="shared" ref="P3:P30" si="13">$M3-$G3</f>
        <v>-13176.391273084075</v>
      </c>
      <c r="Q3" s="8">
        <f t="shared" ref="Q3:Q30" si="14">57.3*ASIN($P3/$D$33)</f>
        <v>-2.0977108182618958</v>
      </c>
      <c r="R3" s="7">
        <f t="shared" ref="R3:R29" si="15">$O3-$K3</f>
        <v>-33195.493004020602</v>
      </c>
      <c r="S3">
        <f t="shared" ref="S3:S30" si="16">$R3*746/($D$33*9.81)</f>
        <v>-7.0120732192205715</v>
      </c>
      <c r="T3" s="13">
        <f t="shared" ref="T3:T30" si="17">U3*9.81/(D3*$A$33)</f>
        <v>0.11875040852263814</v>
      </c>
      <c r="U3" s="13">
        <f t="shared" ref="U3:U30" si="18">IF(L3&lt;$M$33,I3,$M$37+$M$37*14*(L3-$M$33))</f>
        <v>30372.756120377468</v>
      </c>
      <c r="V3" s="14">
        <f t="shared" ref="V3:V30" si="19">$U3*9.81*$B3/1000</f>
        <v>57082.852955598042</v>
      </c>
      <c r="W3" s="14">
        <f t="shared" ref="W3:W30" si="20">$V3/0.746</f>
        <v>76518.569645573778</v>
      </c>
      <c r="X3" s="14">
        <f t="shared" ref="X3:X30" si="21">$M3-$U3</f>
        <v>-13176.391273084086</v>
      </c>
      <c r="Y3" s="15">
        <f t="shared" ref="Y3:Y30" si="22">57.3*ASIN($X3/$D$33)</f>
        <v>-2.0977108182618971</v>
      </c>
      <c r="Z3" s="14">
        <f t="shared" ref="Z3:Z30" si="23">$O3-$W3</f>
        <v>-33195.493004020631</v>
      </c>
      <c r="AA3" s="13">
        <f t="shared" ref="AA3:AA30" si="24">$Z3*746/($D$33*9.81)</f>
        <v>-7.0120732192205777</v>
      </c>
      <c r="AC3">
        <f t="shared" ref="AC3:AC30" si="25">11.27*(2/$S$33)*SQRT(2/($H$37*$A$33))*(SQRT(E3))*(1/T3)*(SQRT($D$33)-SQRT($D$33-$E$33))</f>
        <v>3648.8950521880288</v>
      </c>
      <c r="AD3">
        <f t="shared" ref="AD3:AD30" si="26">(1/$S$33)*(E3/T3)*LN($D$33/($D$33-$E$33))</f>
        <v>5.683028658543857</v>
      </c>
    </row>
    <row r="4" spans="1:30" ht="12" customHeight="1">
      <c r="B4" s="8">
        <f t="shared" ref="B4:B30" si="27">B3+$A$2</f>
        <v>197.58101080953676</v>
      </c>
      <c r="C4">
        <f t="shared" si="0"/>
        <v>711.29163891433234</v>
      </c>
      <c r="D4">
        <f t="shared" si="1"/>
        <v>4942.0805926382509</v>
      </c>
      <c r="E4">
        <f t="shared" si="2"/>
        <v>1.3233292896400795</v>
      </c>
      <c r="F4">
        <f t="shared" si="3"/>
        <v>0.10705859624613343</v>
      </c>
      <c r="G4" s="7">
        <f t="shared" si="4"/>
        <v>29124.341877969371</v>
      </c>
      <c r="H4" s="8">
        <f t="shared" si="5"/>
        <v>12.360794331710411</v>
      </c>
      <c r="I4" s="7">
        <f t="shared" si="6"/>
        <v>29124.341877969375</v>
      </c>
      <c r="J4" s="7">
        <f t="shared" si="7"/>
        <v>56450.829861708888</v>
      </c>
      <c r="K4" s="7">
        <f t="shared" si="8"/>
        <v>75671.353702022636</v>
      </c>
      <c r="L4" s="10">
        <f t="shared" si="9"/>
        <v>0.69861387273780184</v>
      </c>
      <c r="M4">
        <f t="shared" si="10"/>
        <v>17196.364847293382</v>
      </c>
      <c r="N4">
        <f t="shared" si="11"/>
        <v>0.16534966199320558</v>
      </c>
      <c r="O4">
        <f t="shared" si="12"/>
        <v>44679.883658861036</v>
      </c>
      <c r="P4" s="7">
        <f t="shared" si="13"/>
        <v>-11927.977030675989</v>
      </c>
      <c r="Q4" s="8">
        <f t="shared" si="14"/>
        <v>-1.8988838889232713</v>
      </c>
      <c r="R4" s="7">
        <f t="shared" si="15"/>
        <v>-30991.4700431616</v>
      </c>
      <c r="S4">
        <f t="shared" si="16"/>
        <v>-6.5465048850941647</v>
      </c>
      <c r="T4" s="13">
        <f t="shared" si="17"/>
        <v>0.10705859624613343</v>
      </c>
      <c r="U4" s="13">
        <f t="shared" si="18"/>
        <v>29124.341877969375</v>
      </c>
      <c r="V4" s="14">
        <f t="shared" si="19"/>
        <v>56450.829861708888</v>
      </c>
      <c r="W4" s="14">
        <f t="shared" si="20"/>
        <v>75671.353702022636</v>
      </c>
      <c r="X4" s="14">
        <f t="shared" si="21"/>
        <v>-11927.977030675993</v>
      </c>
      <c r="Y4" s="15">
        <f t="shared" si="22"/>
        <v>-1.8988838889232718</v>
      </c>
      <c r="Z4" s="14">
        <f t="shared" si="23"/>
        <v>-30991.4700431616</v>
      </c>
      <c r="AA4" s="13">
        <f t="shared" si="24"/>
        <v>-6.5465048850941647</v>
      </c>
      <c r="AC4">
        <f t="shared" si="25"/>
        <v>3924.4807008299026</v>
      </c>
      <c r="AD4">
        <f t="shared" si="26"/>
        <v>5.9266315508277945</v>
      </c>
    </row>
    <row r="5" spans="1:30" ht="12" customHeight="1">
      <c r="B5" s="8">
        <f t="shared" si="27"/>
        <v>203.58101080953676</v>
      </c>
      <c r="C5">
        <f t="shared" si="0"/>
        <v>732.89163891433236</v>
      </c>
      <c r="D5">
        <f t="shared" si="1"/>
        <v>5246.7932391334407</v>
      </c>
      <c r="E5">
        <f t="shared" si="2"/>
        <v>1.2464756474909511</v>
      </c>
      <c r="F5">
        <f t="shared" si="3"/>
        <v>9.7014644710062201E-2</v>
      </c>
      <c r="G5" s="7">
        <f t="shared" si="4"/>
        <v>28019.217355689205</v>
      </c>
      <c r="H5" s="8">
        <f t="shared" si="5"/>
        <v>12.848324613424767</v>
      </c>
      <c r="I5" s="7">
        <f t="shared" si="6"/>
        <v>28019.217355689205</v>
      </c>
      <c r="J5" s="7">
        <f t="shared" si="7"/>
        <v>55958.011601274215</v>
      </c>
      <c r="K5" s="7">
        <f t="shared" si="8"/>
        <v>75010.739411895731</v>
      </c>
      <c r="L5" s="10">
        <f t="shared" si="9"/>
        <v>0.71982888332638262</v>
      </c>
      <c r="M5">
        <f t="shared" si="10"/>
        <v>17196.364847293382</v>
      </c>
      <c r="N5">
        <f t="shared" si="11"/>
        <v>0.16534966199320558</v>
      </c>
      <c r="O5">
        <f t="shared" si="12"/>
        <v>46036.690676168924</v>
      </c>
      <c r="P5" s="7">
        <f t="shared" si="13"/>
        <v>-10822.852508395823</v>
      </c>
      <c r="Q5" s="8">
        <f t="shared" si="14"/>
        <v>-1.7228969534587353</v>
      </c>
      <c r="R5" s="7">
        <f t="shared" si="15"/>
        <v>-28974.048735726807</v>
      </c>
      <c r="S5">
        <f t="shared" si="16"/>
        <v>-6.1203534819493139</v>
      </c>
      <c r="T5" s="13">
        <f t="shared" si="17"/>
        <v>9.7014644710062228E-2</v>
      </c>
      <c r="U5" s="13">
        <f t="shared" si="18"/>
        <v>28019.217355689205</v>
      </c>
      <c r="V5" s="14">
        <f t="shared" si="19"/>
        <v>55958.011601274215</v>
      </c>
      <c r="W5" s="14">
        <f t="shared" si="20"/>
        <v>75010.739411895731</v>
      </c>
      <c r="X5" s="14">
        <f t="shared" si="21"/>
        <v>-10822.852508395823</v>
      </c>
      <c r="Y5" s="15">
        <f t="shared" si="22"/>
        <v>-1.7228969534587353</v>
      </c>
      <c r="Z5" s="14">
        <f t="shared" si="23"/>
        <v>-28974.048735726807</v>
      </c>
      <c r="AA5" s="13">
        <f t="shared" si="24"/>
        <v>-6.1203534819493139</v>
      </c>
      <c r="AC5">
        <f t="shared" si="25"/>
        <v>4203.1450852089665</v>
      </c>
      <c r="AD5">
        <f t="shared" si="26"/>
        <v>6.1603877538721035</v>
      </c>
    </row>
    <row r="6" spans="1:30" ht="12" customHeight="1">
      <c r="B6" s="8">
        <f t="shared" si="27"/>
        <v>209.58101080953676</v>
      </c>
      <c r="C6">
        <f t="shared" si="0"/>
        <v>754.49163891433238</v>
      </c>
      <c r="D6">
        <f t="shared" si="1"/>
        <v>5560.6207857460049</v>
      </c>
      <c r="E6">
        <f t="shared" si="2"/>
        <v>1.1761276756660906</v>
      </c>
      <c r="F6">
        <f t="shared" si="3"/>
        <v>8.834754316028591E-2</v>
      </c>
      <c r="G6" s="7">
        <f t="shared" si="4"/>
        <v>27042.230359633653</v>
      </c>
      <c r="H6" s="8">
        <f t="shared" si="5"/>
        <v>13.312511402069015</v>
      </c>
      <c r="I6" s="7">
        <f t="shared" si="6"/>
        <v>27042.230359633661</v>
      </c>
      <c r="J6" s="7">
        <f t="shared" si="7"/>
        <v>55598.547518233536</v>
      </c>
      <c r="K6" s="7">
        <f t="shared" si="8"/>
        <v>74528.884072699104</v>
      </c>
      <c r="L6" s="10">
        <f t="shared" si="9"/>
        <v>0.74104389391496339</v>
      </c>
      <c r="M6">
        <f t="shared" si="10"/>
        <v>17196.364847293382</v>
      </c>
      <c r="N6">
        <f t="shared" si="11"/>
        <v>0.16534966199320558</v>
      </c>
      <c r="O6">
        <f t="shared" si="12"/>
        <v>47393.497693476827</v>
      </c>
      <c r="P6" s="7">
        <f t="shared" si="13"/>
        <v>-9845.8655123402714</v>
      </c>
      <c r="Q6" s="8">
        <f t="shared" si="14"/>
        <v>-1.5673290296993381</v>
      </c>
      <c r="R6" s="7">
        <f t="shared" si="15"/>
        <v>-27135.386379222276</v>
      </c>
      <c r="S6">
        <f t="shared" si="16"/>
        <v>-5.731962351030643</v>
      </c>
      <c r="T6" s="13">
        <f t="shared" si="17"/>
        <v>8.8347543160285924E-2</v>
      </c>
      <c r="U6" s="13">
        <f t="shared" si="18"/>
        <v>27042.230359633661</v>
      </c>
      <c r="V6" s="14">
        <f t="shared" si="19"/>
        <v>55598.547518233543</v>
      </c>
      <c r="W6" s="14">
        <f t="shared" si="20"/>
        <v>74528.884072699118</v>
      </c>
      <c r="X6" s="14">
        <f t="shared" si="21"/>
        <v>-9845.8655123402787</v>
      </c>
      <c r="Y6" s="15">
        <f t="shared" si="22"/>
        <v>-1.5673290296993394</v>
      </c>
      <c r="Z6" s="14">
        <f t="shared" si="23"/>
        <v>-27135.386379222291</v>
      </c>
      <c r="AA6" s="13">
        <f t="shared" si="24"/>
        <v>-5.7319623510306466</v>
      </c>
      <c r="AC6">
        <f t="shared" si="25"/>
        <v>4483.3489029235971</v>
      </c>
      <c r="AD6">
        <f t="shared" si="26"/>
        <v>6.3829514494752937</v>
      </c>
    </row>
    <row r="7" spans="1:30" ht="12" customHeight="1">
      <c r="B7" s="8">
        <f t="shared" si="27"/>
        <v>215.58101080953676</v>
      </c>
      <c r="C7">
        <f t="shared" si="0"/>
        <v>776.09163891433241</v>
      </c>
      <c r="D7">
        <f t="shared" si="1"/>
        <v>5883.5632324759445</v>
      </c>
      <c r="E7">
        <f t="shared" si="2"/>
        <v>1.1115712947386494</v>
      </c>
      <c r="F7">
        <f t="shared" si="3"/>
        <v>8.0836884103997808E-2</v>
      </c>
      <c r="G7" s="7">
        <f t="shared" si="4"/>
        <v>26180.307475717465</v>
      </c>
      <c r="H7" s="8">
        <f t="shared" si="5"/>
        <v>13.750793428759538</v>
      </c>
      <c r="I7" s="7">
        <f t="shared" si="6"/>
        <v>26180.307475717469</v>
      </c>
      <c r="J7" s="7">
        <f t="shared" si="7"/>
        <v>55367.415830901708</v>
      </c>
      <c r="K7" s="7">
        <f t="shared" si="8"/>
        <v>74219.05607359478</v>
      </c>
      <c r="L7" s="10">
        <f t="shared" si="9"/>
        <v>0.76225890450354417</v>
      </c>
      <c r="M7">
        <f t="shared" si="10"/>
        <v>17196.364847293382</v>
      </c>
      <c r="N7">
        <f t="shared" si="11"/>
        <v>0.16534966199320558</v>
      </c>
      <c r="O7">
        <f t="shared" si="12"/>
        <v>48750.304710784709</v>
      </c>
      <c r="P7" s="7">
        <f t="shared" si="13"/>
        <v>-8983.9426284240835</v>
      </c>
      <c r="Q7" s="8">
        <f t="shared" si="14"/>
        <v>-1.4300926647881413</v>
      </c>
      <c r="R7" s="7">
        <f t="shared" si="15"/>
        <v>-25468.751362810071</v>
      </c>
      <c r="S7">
        <f t="shared" si="16"/>
        <v>-5.3799095358070881</v>
      </c>
      <c r="T7" s="13">
        <f t="shared" si="17"/>
        <v>8.0836884103997822E-2</v>
      </c>
      <c r="U7" s="13">
        <f t="shared" si="18"/>
        <v>26180.307475717469</v>
      </c>
      <c r="V7" s="14">
        <f t="shared" si="19"/>
        <v>55367.415830901715</v>
      </c>
      <c r="W7" s="14">
        <f t="shared" si="20"/>
        <v>74219.056073594795</v>
      </c>
      <c r="X7" s="14">
        <f t="shared" si="21"/>
        <v>-8983.9426284240872</v>
      </c>
      <c r="Y7" s="15">
        <f t="shared" si="22"/>
        <v>-1.430092664788142</v>
      </c>
      <c r="Z7" s="14">
        <f t="shared" si="23"/>
        <v>-25468.751362810086</v>
      </c>
      <c r="AA7" s="13">
        <f t="shared" si="24"/>
        <v>-5.3799095358070916</v>
      </c>
      <c r="AC7">
        <f t="shared" si="25"/>
        <v>4763.5296883600486</v>
      </c>
      <c r="AD7">
        <f t="shared" si="26"/>
        <v>6.5930945857364538</v>
      </c>
    </row>
    <row r="8" spans="1:30" ht="12" customHeight="1">
      <c r="B8" s="8">
        <f t="shared" si="27"/>
        <v>221.58101080953676</v>
      </c>
      <c r="C8">
        <f t="shared" si="0"/>
        <v>797.69163891433232</v>
      </c>
      <c r="D8">
        <f t="shared" si="1"/>
        <v>6215.6205793232602</v>
      </c>
      <c r="E8">
        <f t="shared" si="2"/>
        <v>1.0521877769945951</v>
      </c>
      <c r="F8">
        <f t="shared" si="3"/>
        <v>7.4302347157369969E-2</v>
      </c>
      <c r="G8" s="7">
        <f t="shared" si="4"/>
        <v>25422.120995414854</v>
      </c>
      <c r="H8" s="8">
        <f t="shared" si="5"/>
        <v>14.16089554702889</v>
      </c>
      <c r="I8" s="7">
        <f t="shared" si="6"/>
        <v>25422.120995414865</v>
      </c>
      <c r="J8" s="7">
        <f t="shared" si="7"/>
        <v>55260.311410117298</v>
      </c>
      <c r="K8" s="7">
        <f t="shared" si="8"/>
        <v>74075.484463964211</v>
      </c>
      <c r="L8" s="10">
        <f t="shared" si="9"/>
        <v>0.78347391509212483</v>
      </c>
      <c r="M8">
        <f t="shared" si="10"/>
        <v>17196.364847293382</v>
      </c>
      <c r="N8">
        <f t="shared" si="11"/>
        <v>0.16534966199320558</v>
      </c>
      <c r="O8">
        <f t="shared" si="12"/>
        <v>50107.111728092612</v>
      </c>
      <c r="P8" s="7">
        <f t="shared" si="13"/>
        <v>-8225.7561481214725</v>
      </c>
      <c r="Q8" s="8">
        <f t="shared" si="14"/>
        <v>-1.3093801398179477</v>
      </c>
      <c r="R8" s="7">
        <f t="shared" si="15"/>
        <v>-23968.372735871599</v>
      </c>
      <c r="S8">
        <f t="shared" si="16"/>
        <v>-5.0629760054819943</v>
      </c>
      <c r="T8" s="13">
        <f t="shared" si="17"/>
        <v>7.4302347157369983E-2</v>
      </c>
      <c r="U8" s="13">
        <f t="shared" si="18"/>
        <v>25422.120995414865</v>
      </c>
      <c r="V8" s="14">
        <f t="shared" si="19"/>
        <v>55260.311410117312</v>
      </c>
      <c r="W8" s="14">
        <f t="shared" si="20"/>
        <v>74075.484463964225</v>
      </c>
      <c r="X8" s="14">
        <f t="shared" si="21"/>
        <v>-8225.7561481214834</v>
      </c>
      <c r="Y8" s="15">
        <f t="shared" si="22"/>
        <v>-1.3093801398179494</v>
      </c>
      <c r="Z8" s="14">
        <f t="shared" si="23"/>
        <v>-23968.372735871613</v>
      </c>
      <c r="AA8" s="13">
        <f t="shared" si="24"/>
        <v>-5.062976005481997</v>
      </c>
      <c r="AC8">
        <f t="shared" si="25"/>
        <v>5042.1280753717401</v>
      </c>
      <c r="AD8">
        <f t="shared" si="26"/>
        <v>6.7897262979041093</v>
      </c>
    </row>
    <row r="9" spans="1:30" ht="12" customHeight="1">
      <c r="B9" s="8">
        <f t="shared" si="27"/>
        <v>227.58101080953676</v>
      </c>
      <c r="C9">
        <f t="shared" si="0"/>
        <v>819.29163891433234</v>
      </c>
      <c r="D9">
        <f t="shared" si="1"/>
        <v>6556.7928262879514</v>
      </c>
      <c r="E9">
        <f t="shared" si="2"/>
        <v>0.99743886580942065</v>
      </c>
      <c r="F9">
        <f t="shared" si="3"/>
        <v>6.859557886121552E-2</v>
      </c>
      <c r="G9" s="7">
        <f t="shared" si="4"/>
        <v>24757.816480309393</v>
      </c>
      <c r="H9" s="8">
        <f t="shared" si="5"/>
        <v>14.540862288332994</v>
      </c>
      <c r="I9" s="7">
        <f t="shared" si="6"/>
        <v>24757.816480309397</v>
      </c>
      <c r="J9" s="7">
        <f t="shared" si="7"/>
        <v>55273.551309253293</v>
      </c>
      <c r="K9" s="7">
        <f t="shared" si="8"/>
        <v>74093.232318033901</v>
      </c>
      <c r="L9" s="10">
        <f t="shared" si="9"/>
        <v>0.8046889256807056</v>
      </c>
      <c r="M9">
        <f t="shared" si="10"/>
        <v>17196.364847293382</v>
      </c>
      <c r="N9">
        <f t="shared" si="11"/>
        <v>0.16534966199320558</v>
      </c>
      <c r="O9">
        <f t="shared" si="12"/>
        <v>51463.9187454005</v>
      </c>
      <c r="P9" s="7">
        <f t="shared" si="13"/>
        <v>-7561.4516330160113</v>
      </c>
      <c r="Q9" s="8">
        <f t="shared" si="14"/>
        <v>-1.2036195626679362</v>
      </c>
      <c r="R9" s="7">
        <f t="shared" si="15"/>
        <v>-22629.3135726334</v>
      </c>
      <c r="S9">
        <f t="shared" si="16"/>
        <v>-4.7801189050811299</v>
      </c>
      <c r="T9" s="13">
        <f t="shared" si="17"/>
        <v>6.859557886121552E-2</v>
      </c>
      <c r="U9" s="13">
        <f t="shared" si="18"/>
        <v>24757.816480309397</v>
      </c>
      <c r="V9" s="14">
        <f t="shared" si="19"/>
        <v>55273.5513092533</v>
      </c>
      <c r="W9" s="14">
        <f t="shared" si="20"/>
        <v>74093.232318033915</v>
      </c>
      <c r="X9" s="14">
        <f t="shared" si="21"/>
        <v>-7561.451633016015</v>
      </c>
      <c r="Y9" s="15">
        <f t="shared" si="22"/>
        <v>-1.2036195626679369</v>
      </c>
      <c r="Z9" s="14">
        <f t="shared" si="23"/>
        <v>-22629.313572633415</v>
      </c>
      <c r="AA9" s="13">
        <f t="shared" si="24"/>
        <v>-4.7801189050811326</v>
      </c>
      <c r="AC9">
        <f t="shared" si="25"/>
        <v>5317.6138617349234</v>
      </c>
      <c r="AD9">
        <f t="shared" si="26"/>
        <v>6.9719089972393</v>
      </c>
    </row>
    <row r="10" spans="1:30" ht="12" customHeight="1">
      <c r="B10" s="8">
        <f t="shared" si="27"/>
        <v>233.58101080953676</v>
      </c>
      <c r="C10">
        <f t="shared" si="0"/>
        <v>840.89163891433236</v>
      </c>
      <c r="D10">
        <f t="shared" si="1"/>
        <v>6907.0799733700178</v>
      </c>
      <c r="E10">
        <f t="shared" si="2"/>
        <v>0.94685453552220611</v>
      </c>
      <c r="F10">
        <f t="shared" si="3"/>
        <v>6.3593876985332365E-2</v>
      </c>
      <c r="G10" s="7">
        <f t="shared" si="4"/>
        <v>24178.788669046546</v>
      </c>
      <c r="H10" s="8">
        <f t="shared" si="5"/>
        <v>14.889083358459082</v>
      </c>
      <c r="I10" s="7">
        <f t="shared" si="6"/>
        <v>24178.788669046549</v>
      </c>
      <c r="J10" s="7">
        <f t="shared" si="7"/>
        <v>55403.994854142104</v>
      </c>
      <c r="K10" s="7">
        <f t="shared" si="8"/>
        <v>74268.089616812475</v>
      </c>
      <c r="L10" s="10">
        <f t="shared" si="9"/>
        <v>0.82590393626928638</v>
      </c>
      <c r="M10">
        <f t="shared" si="10"/>
        <v>17196.364847293382</v>
      </c>
      <c r="N10">
        <f t="shared" si="11"/>
        <v>0.16534966199320558</v>
      </c>
      <c r="O10">
        <f t="shared" si="12"/>
        <v>52820.725762708396</v>
      </c>
      <c r="P10" s="7">
        <f t="shared" si="13"/>
        <v>-6982.4238217531638</v>
      </c>
      <c r="Q10" s="8">
        <f t="shared" si="14"/>
        <v>-1.1114388177792001</v>
      </c>
      <c r="R10" s="7">
        <f t="shared" si="15"/>
        <v>-21447.363854104078</v>
      </c>
      <c r="S10">
        <f t="shared" si="16"/>
        <v>-4.5304489282935902</v>
      </c>
      <c r="T10" s="13">
        <f t="shared" si="17"/>
        <v>6.3593876985332365E-2</v>
      </c>
      <c r="U10" s="13">
        <f t="shared" si="18"/>
        <v>24178.788669046549</v>
      </c>
      <c r="V10" s="14">
        <f t="shared" si="19"/>
        <v>55403.994854142125</v>
      </c>
      <c r="W10" s="14">
        <f t="shared" si="20"/>
        <v>74268.089616812504</v>
      </c>
      <c r="X10" s="14">
        <f t="shared" si="21"/>
        <v>-6982.4238217531674</v>
      </c>
      <c r="Y10" s="15">
        <f t="shared" si="22"/>
        <v>-1.1114388177792007</v>
      </c>
      <c r="Z10" s="14">
        <f t="shared" si="23"/>
        <v>-21447.363854104107</v>
      </c>
      <c r="AA10" s="13">
        <f t="shared" si="24"/>
        <v>-4.5304489282935956</v>
      </c>
      <c r="AC10">
        <f t="shared" si="25"/>
        <v>5588.5109898193623</v>
      </c>
      <c r="AD10">
        <f t="shared" si="26"/>
        <v>7.1388705957813841</v>
      </c>
    </row>
    <row r="11" spans="1:30" ht="12" customHeight="1">
      <c r="B11" s="8">
        <f t="shared" si="27"/>
        <v>239.58101080953676</v>
      </c>
      <c r="C11">
        <f t="shared" si="0"/>
        <v>862.49163891433238</v>
      </c>
      <c r="D11">
        <f t="shared" si="1"/>
        <v>7266.4820205694596</v>
      </c>
      <c r="E11">
        <f t="shared" si="2"/>
        <v>0.90002286959315592</v>
      </c>
      <c r="F11">
        <f t="shared" si="3"/>
        <v>5.9195244566862329E-2</v>
      </c>
      <c r="G11" s="7">
        <f t="shared" si="4"/>
        <v>23677.49616596241</v>
      </c>
      <c r="H11" s="8">
        <f t="shared" si="5"/>
        <v>15.20431034923017</v>
      </c>
      <c r="I11" s="7">
        <f t="shared" si="6"/>
        <v>23677.496165962413</v>
      </c>
      <c r="J11" s="7">
        <f t="shared" si="7"/>
        <v>55648.975740474823</v>
      </c>
      <c r="K11" s="7">
        <f t="shared" si="8"/>
        <v>74596.482225837564</v>
      </c>
      <c r="L11" s="10">
        <f t="shared" si="9"/>
        <v>0.84711894685786715</v>
      </c>
      <c r="M11">
        <f t="shared" si="10"/>
        <v>17196.364847293382</v>
      </c>
      <c r="N11">
        <f t="shared" si="11"/>
        <v>0.16534966199320558</v>
      </c>
      <c r="O11">
        <f t="shared" si="12"/>
        <v>54177.532780016292</v>
      </c>
      <c r="P11" s="7">
        <f t="shared" si="13"/>
        <v>-6481.1313186690277</v>
      </c>
      <c r="Q11" s="8">
        <f t="shared" si="14"/>
        <v>-1.0316358011267097</v>
      </c>
      <c r="R11" s="7">
        <f t="shared" si="15"/>
        <v>-20418.949445821272</v>
      </c>
      <c r="S11">
        <f t="shared" si="16"/>
        <v>-4.3132110903224232</v>
      </c>
      <c r="T11" s="13">
        <f t="shared" si="17"/>
        <v>7.461785630124361E-2</v>
      </c>
      <c r="U11" s="13">
        <f t="shared" si="18"/>
        <v>29846.384104206732</v>
      </c>
      <c r="V11" s="14">
        <f t="shared" si="19"/>
        <v>70147.649621143239</v>
      </c>
      <c r="W11" s="14">
        <f t="shared" si="20"/>
        <v>94031.701905017748</v>
      </c>
      <c r="X11" s="14">
        <f t="shared" si="21"/>
        <v>-12650.019256913351</v>
      </c>
      <c r="Y11" s="15">
        <f t="shared" si="22"/>
        <v>-2.0138759807802211</v>
      </c>
      <c r="Z11" s="14">
        <f t="shared" si="23"/>
        <v>-39854.169125001456</v>
      </c>
      <c r="AA11" s="13">
        <f t="shared" si="24"/>
        <v>-8.418623334253903</v>
      </c>
      <c r="AC11">
        <f t="shared" si="25"/>
        <v>4643.5891131433937</v>
      </c>
      <c r="AD11">
        <f t="shared" si="26"/>
        <v>5.7832547778120933</v>
      </c>
    </row>
    <row r="12" spans="1:30" ht="12" customHeight="1">
      <c r="B12" s="8">
        <f t="shared" si="27"/>
        <v>245.58101080953676</v>
      </c>
      <c r="C12">
        <f t="shared" si="0"/>
        <v>884.09163891433241</v>
      </c>
      <c r="D12">
        <f t="shared" si="1"/>
        <v>7634.9989678862776</v>
      </c>
      <c r="E12">
        <f t="shared" si="2"/>
        <v>0.85658164821082816</v>
      </c>
      <c r="F12">
        <f t="shared" si="3"/>
        <v>5.5314491421658382E-2</v>
      </c>
      <c r="G12" s="7">
        <f t="shared" si="4"/>
        <v>23247.307426432079</v>
      </c>
      <c r="H12" s="8">
        <f t="shared" si="5"/>
        <v>15.485664356581857</v>
      </c>
      <c r="I12" s="7">
        <f t="shared" si="6"/>
        <v>23247.307426432082</v>
      </c>
      <c r="J12" s="7">
        <f t="shared" si="7"/>
        <v>56006.244085119593</v>
      </c>
      <c r="K12" s="7">
        <f t="shared" si="8"/>
        <v>75075.394215978013</v>
      </c>
      <c r="L12" s="10">
        <f t="shared" si="9"/>
        <v>0.86833395744644792</v>
      </c>
      <c r="M12">
        <f t="shared" si="10"/>
        <v>17196.364847293382</v>
      </c>
      <c r="N12">
        <f t="shared" si="11"/>
        <v>0.16534966199320558</v>
      </c>
      <c r="O12">
        <f t="shared" si="12"/>
        <v>55534.339797324181</v>
      </c>
      <c r="P12" s="7">
        <f t="shared" si="13"/>
        <v>-6050.9425791386966</v>
      </c>
      <c r="Q12" s="8">
        <f t="shared" si="14"/>
        <v>-0.96315371499193259</v>
      </c>
      <c r="R12" s="7">
        <f t="shared" si="15"/>
        <v>-19541.054418653832</v>
      </c>
      <c r="S12">
        <f t="shared" si="16"/>
        <v>-4.1277683192648542</v>
      </c>
      <c r="T12" s="13">
        <f t="shared" si="17"/>
        <v>8.8031012971310996E-2</v>
      </c>
      <c r="U12" s="13">
        <f t="shared" si="18"/>
        <v>36997.249165758323</v>
      </c>
      <c r="V12" s="14">
        <f t="shared" si="19"/>
        <v>89131.912322005344</v>
      </c>
      <c r="W12" s="14">
        <f t="shared" si="20"/>
        <v>119479.77523057017</v>
      </c>
      <c r="X12" s="14">
        <f t="shared" si="21"/>
        <v>-19800.884318464941</v>
      </c>
      <c r="Y12" s="15">
        <f t="shared" si="22"/>
        <v>-3.1532320154236437</v>
      </c>
      <c r="Z12" s="14">
        <f t="shared" si="23"/>
        <v>-63945.435433245992</v>
      </c>
      <c r="AA12" s="13">
        <f t="shared" si="24"/>
        <v>-13.507558849587017</v>
      </c>
      <c r="AC12">
        <f t="shared" si="25"/>
        <v>3839.8871697731115</v>
      </c>
      <c r="AD12">
        <f t="shared" si="26"/>
        <v>4.6654615508771853</v>
      </c>
    </row>
    <row r="13" spans="1:30" ht="12" customHeight="1">
      <c r="B13" s="8">
        <f t="shared" si="27"/>
        <v>251.58101080953676</v>
      </c>
      <c r="C13">
        <f t="shared" si="0"/>
        <v>905.69163891433232</v>
      </c>
      <c r="D13">
        <f t="shared" si="1"/>
        <v>8012.6308153204691</v>
      </c>
      <c r="E13">
        <f t="shared" si="2"/>
        <v>0.81621132318929002</v>
      </c>
      <c r="F13">
        <f t="shared" si="3"/>
        <v>5.1880142341012445E-2</v>
      </c>
      <c r="G13" s="7">
        <f t="shared" si="4"/>
        <v>22882.372140815147</v>
      </c>
      <c r="H13" s="8">
        <f t="shared" si="5"/>
        <v>15.732634614305139</v>
      </c>
      <c r="I13" s="7">
        <f t="shared" si="6"/>
        <v>22882.37214081515</v>
      </c>
      <c r="J13" s="7">
        <f t="shared" si="7"/>
        <v>56473.91676961039</v>
      </c>
      <c r="K13" s="7">
        <f t="shared" si="8"/>
        <v>75702.301299745828</v>
      </c>
      <c r="L13" s="10">
        <f t="shared" si="9"/>
        <v>0.8895489680350287</v>
      </c>
      <c r="M13">
        <f t="shared" si="10"/>
        <v>17196.364847293382</v>
      </c>
      <c r="N13">
        <f t="shared" si="11"/>
        <v>0.16534966199320558</v>
      </c>
      <c r="O13">
        <f t="shared" si="12"/>
        <v>56891.146814632084</v>
      </c>
      <c r="P13" s="7">
        <f t="shared" si="13"/>
        <v>-5686.007293521765</v>
      </c>
      <c r="Q13" s="8">
        <f t="shared" si="14"/>
        <v>-0.90506046038100552</v>
      </c>
      <c r="R13" s="7">
        <f t="shared" si="15"/>
        <v>-18811.154485113744</v>
      </c>
      <c r="S13">
        <f t="shared" si="16"/>
        <v>-3.9735873954850076</v>
      </c>
      <c r="T13" s="13">
        <f t="shared" si="17"/>
        <v>0.10009497424940154</v>
      </c>
      <c r="U13" s="13">
        <f t="shared" si="18"/>
        <v>44148.114227309918</v>
      </c>
      <c r="V13" s="14">
        <f t="shared" si="19"/>
        <v>108957.97485791333</v>
      </c>
      <c r="W13" s="14">
        <f t="shared" si="20"/>
        <v>146056.26656556746</v>
      </c>
      <c r="X13" s="14">
        <f t="shared" si="21"/>
        <v>-26951.749380016536</v>
      </c>
      <c r="Y13" s="15">
        <f t="shared" si="22"/>
        <v>-4.2938375960082888</v>
      </c>
      <c r="Z13" s="14">
        <f t="shared" si="23"/>
        <v>-89165.119750935381</v>
      </c>
      <c r="AA13" s="13">
        <f t="shared" si="24"/>
        <v>-18.834856533638519</v>
      </c>
      <c r="AC13">
        <f t="shared" si="25"/>
        <v>3296.5435337659319</v>
      </c>
      <c r="AD13">
        <f t="shared" si="26"/>
        <v>3.9097761363563026</v>
      </c>
    </row>
    <row r="14" spans="1:30" ht="12" customHeight="1">
      <c r="B14" s="8">
        <f t="shared" si="27"/>
        <v>257.58101080953679</v>
      </c>
      <c r="C14">
        <f t="shared" si="0"/>
        <v>927.29163891433245</v>
      </c>
      <c r="D14">
        <f t="shared" si="1"/>
        <v>8399.3775628720414</v>
      </c>
      <c r="E14">
        <f t="shared" si="2"/>
        <v>0.77862912472334989</v>
      </c>
      <c r="F14">
        <f t="shared" si="3"/>
        <v>4.8831970696584556E-2</v>
      </c>
      <c r="G14" s="7">
        <f t="shared" si="4"/>
        <v>22577.513340534901</v>
      </c>
      <c r="H14" s="8">
        <f t="shared" si="5"/>
        <v>15.945068642863708</v>
      </c>
      <c r="I14" s="7">
        <f t="shared" si="6"/>
        <v>22577.513340534893</v>
      </c>
      <c r="J14" s="7">
        <f t="shared" si="7"/>
        <v>57050.434723721861</v>
      </c>
      <c r="K14" s="7">
        <f t="shared" si="8"/>
        <v>76475.113570672736</v>
      </c>
      <c r="L14" s="10">
        <f t="shared" si="9"/>
        <v>0.91076397862360947</v>
      </c>
      <c r="M14">
        <f t="shared" si="10"/>
        <v>17196.364847293382</v>
      </c>
      <c r="N14">
        <f t="shared" si="11"/>
        <v>0.16534966199320558</v>
      </c>
      <c r="O14">
        <f t="shared" si="12"/>
        <v>58247.95383193998</v>
      </c>
      <c r="P14" s="7">
        <f t="shared" si="13"/>
        <v>-5381.1484932415187</v>
      </c>
      <c r="Q14" s="8">
        <f t="shared" si="14"/>
        <v>-0.8565313665821459</v>
      </c>
      <c r="R14" s="7">
        <f t="shared" si="15"/>
        <v>-18227.159738732757</v>
      </c>
      <c r="S14">
        <f t="shared" si="16"/>
        <v>-3.8502268561260156</v>
      </c>
      <c r="T14" s="13">
        <f t="shared" si="17"/>
        <v>0.1109524426191319</v>
      </c>
      <c r="U14" s="13">
        <f t="shared" si="18"/>
        <v>51298.979288861505</v>
      </c>
      <c r="V14" s="14">
        <f t="shared" si="19"/>
        <v>129625.83722886714</v>
      </c>
      <c r="W14" s="14">
        <f t="shared" si="20"/>
        <v>173761.17591000957</v>
      </c>
      <c r="X14" s="14">
        <f t="shared" si="21"/>
        <v>-34102.614441568119</v>
      </c>
      <c r="Y14" s="15">
        <f t="shared" si="22"/>
        <v>-5.4361506080144064</v>
      </c>
      <c r="Z14" s="14">
        <f t="shared" si="23"/>
        <v>-115513.22207806958</v>
      </c>
      <c r="AA14" s="13">
        <f t="shared" si="24"/>
        <v>-24.400516386408402</v>
      </c>
      <c r="AC14">
        <f t="shared" si="25"/>
        <v>2904.6795987977089</v>
      </c>
      <c r="AD14">
        <f t="shared" si="26"/>
        <v>3.3647695502695312</v>
      </c>
    </row>
    <row r="15" spans="1:30" ht="12" customHeight="1">
      <c r="B15" s="8">
        <f t="shared" si="27"/>
        <v>263.58101080953679</v>
      </c>
      <c r="C15">
        <f t="shared" si="0"/>
        <v>948.89163891433247</v>
      </c>
      <c r="D15">
        <f t="shared" si="1"/>
        <v>8795.2392105409854</v>
      </c>
      <c r="E15">
        <f t="shared" si="2"/>
        <v>0.74358409628721556</v>
      </c>
      <c r="F15">
        <f t="shared" si="3"/>
        <v>4.6119019996260072E-2</v>
      </c>
      <c r="G15" s="7">
        <f t="shared" si="4"/>
        <v>22328.136496669558</v>
      </c>
      <c r="H15" s="8">
        <f t="shared" si="5"/>
        <v>16.123154749331512</v>
      </c>
      <c r="I15" s="7">
        <f t="shared" si="6"/>
        <v>22328.136496669555</v>
      </c>
      <c r="J15" s="7">
        <f t="shared" si="7"/>
        <v>57734.526043270482</v>
      </c>
      <c r="K15" s="7">
        <f t="shared" si="8"/>
        <v>77392.126063365256</v>
      </c>
      <c r="L15" s="10">
        <f t="shared" si="9"/>
        <v>0.93197898921219025</v>
      </c>
      <c r="M15">
        <f t="shared" si="10"/>
        <v>17196.364847293382</v>
      </c>
      <c r="N15">
        <f t="shared" si="11"/>
        <v>0.16534966199320558</v>
      </c>
      <c r="O15">
        <f t="shared" si="12"/>
        <v>59604.760849247868</v>
      </c>
      <c r="P15" s="7">
        <f t="shared" si="13"/>
        <v>-5131.7716493761764</v>
      </c>
      <c r="Q15" s="8">
        <f t="shared" si="14"/>
        <v>-0.81683465296394853</v>
      </c>
      <c r="R15" s="7">
        <f t="shared" si="15"/>
        <v>-17787.365214117388</v>
      </c>
      <c r="S15">
        <f t="shared" si="16"/>
        <v>-3.7573265516286023</v>
      </c>
      <c r="T15" s="13">
        <f t="shared" si="17"/>
        <v>0.1207288185817509</v>
      </c>
      <c r="U15" s="13">
        <f t="shared" si="18"/>
        <v>58449.844350413099</v>
      </c>
      <c r="V15" s="14">
        <f t="shared" si="19"/>
        <v>151135.49943486683</v>
      </c>
      <c r="W15" s="14">
        <f t="shared" si="20"/>
        <v>202594.50326389656</v>
      </c>
      <c r="X15" s="14">
        <f t="shared" si="21"/>
        <v>-41253.479503119714</v>
      </c>
      <c r="Y15" s="15">
        <f t="shared" si="22"/>
        <v>-6.5806351000318735</v>
      </c>
      <c r="Z15" s="14">
        <f t="shared" si="23"/>
        <v>-142989.7424146487</v>
      </c>
      <c r="AA15" s="13">
        <f t="shared" si="24"/>
        <v>-30.204538407896685</v>
      </c>
      <c r="AC15">
        <f t="shared" si="25"/>
        <v>2608.6984211777203</v>
      </c>
      <c r="AD15">
        <f t="shared" si="26"/>
        <v>2.9531172476056153</v>
      </c>
    </row>
    <row r="16" spans="1:30" ht="12" customHeight="1">
      <c r="B16" s="8">
        <f t="shared" si="27"/>
        <v>269.58101080953679</v>
      </c>
      <c r="C16">
        <f t="shared" si="0"/>
        <v>970.4916389143325</v>
      </c>
      <c r="D16">
        <f t="shared" si="1"/>
        <v>9200.2157583273038</v>
      </c>
      <c r="E16">
        <f t="shared" si="2"/>
        <v>0.71085289430093113</v>
      </c>
      <c r="F16">
        <f t="shared" si="3"/>
        <v>4.369800844783997E-2</v>
      </c>
      <c r="G16" s="7">
        <f t="shared" si="4"/>
        <v>22130.152619963501</v>
      </c>
      <c r="H16" s="8">
        <f t="shared" si="5"/>
        <v>16.26739797877606</v>
      </c>
      <c r="I16" s="7">
        <f t="shared" si="6"/>
        <v>22130.152619963501</v>
      </c>
      <c r="J16" s="7">
        <f t="shared" si="7"/>
        <v>58525.174033185569</v>
      </c>
      <c r="K16" s="7">
        <f t="shared" si="8"/>
        <v>78451.97591579835</v>
      </c>
      <c r="L16" s="10">
        <f t="shared" si="9"/>
        <v>0.95319399980077102</v>
      </c>
      <c r="M16">
        <f t="shared" si="10"/>
        <v>17196.364847293382</v>
      </c>
      <c r="N16">
        <f t="shared" si="11"/>
        <v>0.16534966199320558</v>
      </c>
      <c r="O16">
        <f t="shared" si="12"/>
        <v>60961.567866555764</v>
      </c>
      <c r="P16" s="7">
        <f t="shared" si="13"/>
        <v>-4933.787772670119</v>
      </c>
      <c r="Q16" s="8">
        <f t="shared" si="14"/>
        <v>-0.78531913902948625</v>
      </c>
      <c r="R16" s="7">
        <f t="shared" si="15"/>
        <v>-17490.408049242586</v>
      </c>
      <c r="S16">
        <f t="shared" si="16"/>
        <v>-3.6945985968781767</v>
      </c>
      <c r="T16" s="13">
        <f t="shared" si="17"/>
        <v>0.12953459487135957</v>
      </c>
      <c r="U16" s="13">
        <f t="shared" si="18"/>
        <v>65600.709411964694</v>
      </c>
      <c r="V16" s="14">
        <f t="shared" si="19"/>
        <v>173486.96147591234</v>
      </c>
      <c r="W16" s="14">
        <f t="shared" si="20"/>
        <v>232556.24862722834</v>
      </c>
      <c r="X16" s="14">
        <f t="shared" si="21"/>
        <v>-48404.344564671308</v>
      </c>
      <c r="Y16" s="15">
        <f t="shared" si="22"/>
        <v>-7.7277630299739517</v>
      </c>
      <c r="Z16" s="14">
        <f t="shared" si="23"/>
        <v>-171594.68076067258</v>
      </c>
      <c r="AA16" s="13">
        <f t="shared" si="24"/>
        <v>-36.246922598103339</v>
      </c>
      <c r="AC16">
        <f t="shared" si="25"/>
        <v>2377.2446390963428</v>
      </c>
      <c r="AD16">
        <f t="shared" si="26"/>
        <v>2.6312100130976153</v>
      </c>
    </row>
    <row r="17" spans="1:30" ht="12" customHeight="1">
      <c r="B17" s="8">
        <f t="shared" si="27"/>
        <v>275.58101080953679</v>
      </c>
      <c r="C17">
        <f t="shared" si="0"/>
        <v>992.09163891433252</v>
      </c>
      <c r="D17">
        <f t="shared" si="1"/>
        <v>9614.3072062309966</v>
      </c>
      <c r="E17">
        <f t="shared" si="2"/>
        <v>0.6802362208440198</v>
      </c>
      <c r="F17">
        <f t="shared" si="3"/>
        <v>4.1532035889085807E-2</v>
      </c>
      <c r="G17" s="7">
        <f t="shared" si="4"/>
        <v>21979.912950709102</v>
      </c>
      <c r="H17" s="8">
        <f t="shared" si="5"/>
        <v>16.378590798212684</v>
      </c>
      <c r="I17" s="7">
        <f t="shared" si="6"/>
        <v>21979.912950709109</v>
      </c>
      <c r="J17" s="7">
        <f t="shared" si="7"/>
        <v>59421.589425212638</v>
      </c>
      <c r="K17" s="7">
        <f t="shared" si="8"/>
        <v>79653.605127630886</v>
      </c>
      <c r="L17" s="10">
        <f t="shared" si="9"/>
        <v>0.97440901038935179</v>
      </c>
      <c r="M17">
        <f t="shared" si="10"/>
        <v>17196.364847293382</v>
      </c>
      <c r="N17">
        <f t="shared" si="11"/>
        <v>0.16534966199320558</v>
      </c>
      <c r="O17">
        <f t="shared" si="12"/>
        <v>62318.374883863653</v>
      </c>
      <c r="P17" s="7">
        <f t="shared" si="13"/>
        <v>-4783.5481034157201</v>
      </c>
      <c r="Q17" s="8">
        <f t="shared" si="14"/>
        <v>-0.76140381331071083</v>
      </c>
      <c r="R17" s="7">
        <f t="shared" si="15"/>
        <v>-17335.230243767233</v>
      </c>
      <c r="S17">
        <f t="shared" si="16"/>
        <v>-3.6618195044315196</v>
      </c>
      <c r="T17" s="13">
        <f t="shared" si="17"/>
        <v>0.13746737800088052</v>
      </c>
      <c r="U17" s="13">
        <f t="shared" si="18"/>
        <v>72751.574473516288</v>
      </c>
      <c r="V17" s="14">
        <f t="shared" si="19"/>
        <v>196680.22335200373</v>
      </c>
      <c r="W17" s="14">
        <f t="shared" si="20"/>
        <v>263646.41200000502</v>
      </c>
      <c r="X17" s="14">
        <f t="shared" si="21"/>
        <v>-55555.209626222902</v>
      </c>
      <c r="Y17" s="15">
        <f t="shared" si="22"/>
        <v>-8.8780160924212144</v>
      </c>
      <c r="Z17" s="14">
        <f t="shared" si="23"/>
        <v>-201328.03711614135</v>
      </c>
      <c r="AA17" s="13">
        <f t="shared" si="24"/>
        <v>-42.527668957028389</v>
      </c>
      <c r="AC17">
        <f t="shared" si="25"/>
        <v>2191.2907592679999</v>
      </c>
      <c r="AD17">
        <f t="shared" si="26"/>
        <v>2.3725843010298471</v>
      </c>
    </row>
    <row r="18" spans="1:30" ht="12" customHeight="1">
      <c r="B18" s="8">
        <f t="shared" si="27"/>
        <v>281.58101080953679</v>
      </c>
      <c r="C18">
        <f t="shared" si="0"/>
        <v>1013.6916389143324</v>
      </c>
      <c r="D18">
        <f t="shared" si="1"/>
        <v>10037.513554252067</v>
      </c>
      <c r="E18">
        <f t="shared" si="2"/>
        <v>0.65155578267981917</v>
      </c>
      <c r="F18">
        <f t="shared" si="3"/>
        <v>3.9589530732360004E-2</v>
      </c>
      <c r="G18" s="7">
        <f t="shared" si="4"/>
        <v>21874.153284360124</v>
      </c>
      <c r="H18" s="8">
        <f t="shared" si="5"/>
        <v>16.457779888440186</v>
      </c>
      <c r="I18" s="7">
        <f t="shared" si="6"/>
        <v>21874.153284360131</v>
      </c>
      <c r="J18" s="7">
        <f t="shared" si="7"/>
        <v>60423.186147570283</v>
      </c>
      <c r="K18" s="7">
        <f t="shared" si="8"/>
        <v>80996.228079852925</v>
      </c>
      <c r="L18" s="10">
        <f t="shared" si="9"/>
        <v>0.99562402097793257</v>
      </c>
      <c r="M18">
        <f t="shared" si="10"/>
        <v>17196.364847293382</v>
      </c>
      <c r="N18">
        <f t="shared" si="11"/>
        <v>0.16534966199320558</v>
      </c>
      <c r="O18">
        <f t="shared" si="12"/>
        <v>63675.181901171556</v>
      </c>
      <c r="P18" s="7">
        <f t="shared" si="13"/>
        <v>-4677.7884370667416</v>
      </c>
      <c r="Q18" s="8">
        <f t="shared" si="14"/>
        <v>-0.74456894611126856</v>
      </c>
      <c r="R18" s="7">
        <f t="shared" si="15"/>
        <v>-17321.046178681368</v>
      </c>
      <c r="S18">
        <f t="shared" si="16"/>
        <v>-3.6588233235067111</v>
      </c>
      <c r="T18" s="13">
        <f t="shared" si="17"/>
        <v>0.14461360147027247</v>
      </c>
      <c r="U18" s="13">
        <f t="shared" si="18"/>
        <v>79902.439535067882</v>
      </c>
      <c r="V18" s="14">
        <f t="shared" si="19"/>
        <v>220715.28506314097</v>
      </c>
      <c r="W18" s="14">
        <f t="shared" si="20"/>
        <v>295864.9933822265</v>
      </c>
      <c r="X18" s="14">
        <f t="shared" si="21"/>
        <v>-62706.074687774497</v>
      </c>
      <c r="Y18" s="15">
        <f t="shared" si="22"/>
        <v>-10.031887647506892</v>
      </c>
      <c r="Z18" s="14">
        <f t="shared" si="23"/>
        <v>-232189.81148105493</v>
      </c>
      <c r="AA18" s="13">
        <f t="shared" si="24"/>
        <v>-49.046777484671814</v>
      </c>
      <c r="AC18">
        <f t="shared" si="25"/>
        <v>2038.6207468675318</v>
      </c>
      <c r="AD18">
        <f t="shared" si="26"/>
        <v>2.1602499807945552</v>
      </c>
    </row>
    <row r="19" spans="1:30" ht="12" customHeight="1">
      <c r="B19" s="8">
        <f t="shared" si="27"/>
        <v>287.58101080953679</v>
      </c>
      <c r="C19">
        <f t="shared" si="0"/>
        <v>1035.2916389143325</v>
      </c>
      <c r="D19">
        <f t="shared" si="1"/>
        <v>10469.834802390513</v>
      </c>
      <c r="E19">
        <f t="shared" si="2"/>
        <v>0.6246516896815566</v>
      </c>
      <c r="F19">
        <f t="shared" si="3"/>
        <v>3.7843388428425037E-2</v>
      </c>
      <c r="G19" s="7">
        <f t="shared" si="4"/>
        <v>21809.946341741659</v>
      </c>
      <c r="H19" s="8">
        <f t="shared" si="5"/>
        <v>16.506230430792144</v>
      </c>
      <c r="I19" s="7">
        <f t="shared" si="6"/>
        <v>21809.946341741663</v>
      </c>
      <c r="J19" s="7">
        <f t="shared" si="7"/>
        <v>61529.560127812889</v>
      </c>
      <c r="K19" s="7">
        <f t="shared" si="8"/>
        <v>82479.303120392608</v>
      </c>
      <c r="L19" s="10">
        <f t="shared" si="9"/>
        <v>1.0168390315665132</v>
      </c>
      <c r="M19">
        <f t="shared" si="10"/>
        <v>17196.364847293382</v>
      </c>
      <c r="N19">
        <f t="shared" si="11"/>
        <v>0.16534966199320558</v>
      </c>
      <c r="O19">
        <f t="shared" si="12"/>
        <v>65031.988918479445</v>
      </c>
      <c r="P19" s="7">
        <f t="shared" si="13"/>
        <v>-4613.5814944482772</v>
      </c>
      <c r="Q19" s="8">
        <f t="shared" si="14"/>
        <v>-0.73434849001859148</v>
      </c>
      <c r="R19" s="7">
        <f t="shared" si="15"/>
        <v>-17447.314201913163</v>
      </c>
      <c r="S19">
        <f t="shared" si="16"/>
        <v>-3.6854956378489123</v>
      </c>
      <c r="T19" s="13">
        <f t="shared" si="17"/>
        <v>0.15104998280178208</v>
      </c>
      <c r="U19" s="13">
        <f t="shared" si="18"/>
        <v>87053.304596619433</v>
      </c>
      <c r="V19" s="14">
        <f t="shared" si="19"/>
        <v>245592.14660932391</v>
      </c>
      <c r="W19" s="14">
        <f t="shared" si="20"/>
        <v>329211.99277389265</v>
      </c>
      <c r="X19" s="14">
        <f t="shared" si="21"/>
        <v>-69856.939749326048</v>
      </c>
      <c r="Y19" s="15">
        <f t="shared" si="22"/>
        <v>-11.189884773870975</v>
      </c>
      <c r="Z19" s="14">
        <f t="shared" si="23"/>
        <v>-264180.00385541318</v>
      </c>
      <c r="AA19" s="13">
        <f t="shared" si="24"/>
        <v>-55.804248181033593</v>
      </c>
      <c r="AC19">
        <f t="shared" si="25"/>
        <v>1911.0324395827952</v>
      </c>
      <c r="AD19">
        <f t="shared" si="26"/>
        <v>1.9827994384692373</v>
      </c>
    </row>
    <row r="20" spans="1:30" ht="12" customHeight="1">
      <c r="B20" s="8">
        <f t="shared" si="27"/>
        <v>293.58101080953679</v>
      </c>
      <c r="C20">
        <f t="shared" si="0"/>
        <v>1056.8916389143326</v>
      </c>
      <c r="D20">
        <f t="shared" si="1"/>
        <v>10911.270950646334</v>
      </c>
      <c r="E20">
        <f t="shared" si="2"/>
        <v>0.59938022156920223</v>
      </c>
      <c r="F20">
        <f t="shared" si="3"/>
        <v>3.6270263517927753E-2</v>
      </c>
      <c r="G20" s="7">
        <f t="shared" si="4"/>
        <v>21784.660882318491</v>
      </c>
      <c r="H20" s="8">
        <f t="shared" si="5"/>
        <v>16.525389215133195</v>
      </c>
      <c r="I20" s="7">
        <f t="shared" si="6"/>
        <v>21784.660882318491</v>
      </c>
      <c r="J20" s="7">
        <f t="shared" si="7"/>
        <v>62740.470694965319</v>
      </c>
      <c r="K20" s="7">
        <f t="shared" si="8"/>
        <v>84102.507634001769</v>
      </c>
      <c r="L20" s="10">
        <f t="shared" si="9"/>
        <v>1.0380540421550941</v>
      </c>
      <c r="M20">
        <f t="shared" si="10"/>
        <v>17196.364847293382</v>
      </c>
      <c r="N20">
        <f t="shared" si="11"/>
        <v>0.16534966199320558</v>
      </c>
      <c r="O20">
        <f t="shared" si="12"/>
        <v>66388.795935787333</v>
      </c>
      <c r="P20" s="7">
        <f t="shared" si="13"/>
        <v>-4588.2960350251087</v>
      </c>
      <c r="Q20" s="8">
        <f t="shared" si="14"/>
        <v>-0.73032355900021939</v>
      </c>
      <c r="R20" s="7">
        <f t="shared" si="15"/>
        <v>-17713.711698214436</v>
      </c>
      <c r="S20">
        <f t="shared" si="16"/>
        <v>-3.7417682996001727</v>
      </c>
      <c r="T20" s="13">
        <f t="shared" si="17"/>
        <v>0.15684476689571472</v>
      </c>
      <c r="U20" s="13">
        <f t="shared" si="18"/>
        <v>94204.169658171071</v>
      </c>
      <c r="V20" s="14">
        <f t="shared" si="19"/>
        <v>271310.80799055303</v>
      </c>
      <c r="W20" s="14">
        <f t="shared" si="20"/>
        <v>363687.41017500404</v>
      </c>
      <c r="X20" s="14">
        <f t="shared" si="21"/>
        <v>-77007.804810877686</v>
      </c>
      <c r="Y20" s="15">
        <f t="shared" si="22"/>
        <v>-12.352530470862044</v>
      </c>
      <c r="Z20" s="14">
        <f t="shared" si="23"/>
        <v>-297298.61423921672</v>
      </c>
      <c r="AA20" s="13">
        <f t="shared" si="24"/>
        <v>-62.800081046113853</v>
      </c>
      <c r="AC20">
        <f t="shared" si="25"/>
        <v>1802.8141192558649</v>
      </c>
      <c r="AD20">
        <f t="shared" si="26"/>
        <v>1.8322887840039122</v>
      </c>
    </row>
    <row r="21" spans="1:30" ht="12" customHeight="1">
      <c r="B21" s="8">
        <f t="shared" si="27"/>
        <v>299.58101080953679</v>
      </c>
      <c r="C21">
        <f t="shared" si="0"/>
        <v>1078.4916389143325</v>
      </c>
      <c r="D21">
        <f t="shared" si="1"/>
        <v>11361.82199901953</v>
      </c>
      <c r="E21">
        <f t="shared" si="2"/>
        <v>0.5756119045487923</v>
      </c>
      <c r="F21">
        <f t="shared" si="3"/>
        <v>3.4849985441646844E-2</v>
      </c>
      <c r="G21" s="7">
        <f t="shared" si="4"/>
        <v>21795.926491178721</v>
      </c>
      <c r="H21" s="8">
        <f t="shared" si="5"/>
        <v>16.5168477763815</v>
      </c>
      <c r="I21" s="7">
        <f t="shared" si="6"/>
        <v>21795.926491178729</v>
      </c>
      <c r="J21" s="7">
        <f t="shared" si="7"/>
        <v>64055.824216522866</v>
      </c>
      <c r="K21" s="7">
        <f t="shared" si="8"/>
        <v>85865.716107939501</v>
      </c>
      <c r="L21" s="10">
        <f t="shared" si="9"/>
        <v>1.0592690527436748</v>
      </c>
      <c r="M21">
        <f t="shared" si="10"/>
        <v>17196.364847293382</v>
      </c>
      <c r="N21">
        <f t="shared" si="11"/>
        <v>0.16534966199320558</v>
      </c>
      <c r="O21">
        <f t="shared" si="12"/>
        <v>67745.602953095222</v>
      </c>
      <c r="P21" s="7">
        <f t="shared" si="13"/>
        <v>-4599.5616438853394</v>
      </c>
      <c r="Q21" s="8">
        <f t="shared" si="14"/>
        <v>-0.73211681442416476</v>
      </c>
      <c r="R21" s="7">
        <f t="shared" si="15"/>
        <v>-18120.113154844279</v>
      </c>
      <c r="S21">
        <f t="shared" si="16"/>
        <v>-3.8276147959887394</v>
      </c>
      <c r="T21" s="13">
        <f t="shared" si="17"/>
        <v>0.16205879047396812</v>
      </c>
      <c r="U21" s="13">
        <f t="shared" si="18"/>
        <v>101355.03471972264</v>
      </c>
      <c r="V21" s="14">
        <f t="shared" si="19"/>
        <v>297871.26920682768</v>
      </c>
      <c r="W21" s="14">
        <f t="shared" si="20"/>
        <v>399291.24558555987</v>
      </c>
      <c r="X21" s="14">
        <f t="shared" si="21"/>
        <v>-84158.669872429251</v>
      </c>
      <c r="Y21" s="15">
        <f t="shared" si="22"/>
        <v>-13.520366038449144</v>
      </c>
      <c r="Z21" s="14">
        <f t="shared" si="23"/>
        <v>-331545.64263246465</v>
      </c>
      <c r="AA21" s="13">
        <f t="shared" si="24"/>
        <v>-70.034276079912402</v>
      </c>
      <c r="AC21">
        <f t="shared" si="25"/>
        <v>1709.865974860217</v>
      </c>
      <c r="AD21">
        <f t="shared" si="26"/>
        <v>1.7030159769407145</v>
      </c>
    </row>
    <row r="22" spans="1:30" ht="12" customHeight="1">
      <c r="B22" s="8">
        <f t="shared" si="27"/>
        <v>305.58101080953679</v>
      </c>
      <c r="C22">
        <f t="shared" si="0"/>
        <v>1100.0916389143324</v>
      </c>
      <c r="D22">
        <f t="shared" si="1"/>
        <v>11821.487947510102</v>
      </c>
      <c r="E22">
        <f t="shared" si="2"/>
        <v>0.55322984966350919</v>
      </c>
      <c r="F22">
        <f t="shared" si="3"/>
        <v>3.3565074531133866E-2</v>
      </c>
      <c r="G22" s="7">
        <f t="shared" si="4"/>
        <v>21841.603157453796</v>
      </c>
      <c r="H22" s="8">
        <f t="shared" si="5"/>
        <v>16.482306605646034</v>
      </c>
      <c r="I22" s="7">
        <f t="shared" si="6"/>
        <v>21841.603157453796</v>
      </c>
      <c r="J22" s="7">
        <f t="shared" si="7"/>
        <v>65475.659663149476</v>
      </c>
      <c r="K22" s="7">
        <f t="shared" si="8"/>
        <v>87768.980781701714</v>
      </c>
      <c r="L22" s="10">
        <f t="shared" si="9"/>
        <v>1.0804840633322554</v>
      </c>
      <c r="M22">
        <f t="shared" si="10"/>
        <v>17196.364847293382</v>
      </c>
      <c r="N22">
        <f t="shared" si="11"/>
        <v>0.16534966199320558</v>
      </c>
      <c r="O22">
        <f t="shared" si="12"/>
        <v>69102.409970403125</v>
      </c>
      <c r="P22" s="7">
        <f t="shared" si="13"/>
        <v>-4645.2383101604137</v>
      </c>
      <c r="Q22" s="8">
        <f t="shared" si="14"/>
        <v>-0.73938761652176832</v>
      </c>
      <c r="R22" s="7">
        <f t="shared" si="15"/>
        <v>-18666.570811298589</v>
      </c>
      <c r="S22">
        <f t="shared" si="16"/>
        <v>-3.9430461618611243</v>
      </c>
      <c r="T22" s="13">
        <f t="shared" si="17"/>
        <v>0.16674639617666145</v>
      </c>
      <c r="U22" s="13">
        <f t="shared" si="18"/>
        <v>108505.89978127417</v>
      </c>
      <c r="V22" s="14">
        <f t="shared" si="19"/>
        <v>325273.53025814827</v>
      </c>
      <c r="W22" s="14">
        <f t="shared" si="20"/>
        <v>436023.4990055607</v>
      </c>
      <c r="X22" s="14">
        <f t="shared" si="21"/>
        <v>-91309.534933980787</v>
      </c>
      <c r="Y22" s="15">
        <f t="shared" si="22"/>
        <v>-14.693953667344481</v>
      </c>
      <c r="Z22" s="14">
        <f t="shared" si="23"/>
        <v>-366921.08903515758</v>
      </c>
      <c r="AA22" s="13">
        <f t="shared" si="24"/>
        <v>-77.506833282429355</v>
      </c>
      <c r="AC22">
        <f t="shared" si="25"/>
        <v>1629.1689548667391</v>
      </c>
      <c r="AD22">
        <f t="shared" si="26"/>
        <v>1.5907821032682425</v>
      </c>
    </row>
    <row r="23" spans="1:30" ht="12" customHeight="1">
      <c r="B23" s="8">
        <f t="shared" si="27"/>
        <v>311.58101080953679</v>
      </c>
      <c r="C23">
        <f t="shared" si="0"/>
        <v>1121.6916389143325</v>
      </c>
      <c r="D23">
        <f t="shared" si="1"/>
        <v>12290.268796118051</v>
      </c>
      <c r="E23">
        <f t="shared" si="2"/>
        <v>0.5321283129353277</v>
      </c>
      <c r="F23">
        <f t="shared" si="3"/>
        <v>3.2400339449909908E-2</v>
      </c>
      <c r="G23" s="7">
        <f t="shared" si="4"/>
        <v>21919.75491329507</v>
      </c>
      <c r="H23" s="8">
        <f t="shared" si="5"/>
        <v>16.423541295238106</v>
      </c>
      <c r="I23" s="7">
        <f t="shared" si="6"/>
        <v>21919.754913295073</v>
      </c>
      <c r="J23" s="7">
        <f t="shared" si="7"/>
        <v>67000.13584122734</v>
      </c>
      <c r="K23" s="7">
        <f t="shared" si="8"/>
        <v>89812.514532476329</v>
      </c>
      <c r="L23" s="10">
        <f t="shared" si="9"/>
        <v>1.1016990739208363</v>
      </c>
      <c r="M23">
        <f t="shared" si="10"/>
        <v>17196.364847293382</v>
      </c>
      <c r="N23">
        <f t="shared" si="11"/>
        <v>0.16534966199320558</v>
      </c>
      <c r="O23">
        <f t="shared" si="12"/>
        <v>70459.216987711014</v>
      </c>
      <c r="P23" s="7">
        <f t="shared" si="13"/>
        <v>-4723.390066001688</v>
      </c>
      <c r="Q23" s="8">
        <f t="shared" si="14"/>
        <v>-0.75182782419869798</v>
      </c>
      <c r="R23" s="7">
        <f t="shared" si="15"/>
        <v>-19353.297544765315</v>
      </c>
      <c r="S23">
        <f t="shared" si="16"/>
        <v>-4.088107364479252</v>
      </c>
      <c r="T23" s="13">
        <f t="shared" si="17"/>
        <v>0.17095621987603005</v>
      </c>
      <c r="U23" s="13">
        <f t="shared" si="18"/>
        <v>115656.7648428258</v>
      </c>
      <c r="V23" s="14">
        <f t="shared" si="19"/>
        <v>353517.59114451479</v>
      </c>
      <c r="W23" s="14">
        <f t="shared" si="20"/>
        <v>473884.17043500644</v>
      </c>
      <c r="X23" s="14">
        <f t="shared" si="21"/>
        <v>-98460.399995532411</v>
      </c>
      <c r="Y23" s="15">
        <f t="shared" si="22"/>
        <v>-15.873879276787061</v>
      </c>
      <c r="Z23" s="14">
        <f t="shared" si="23"/>
        <v>-403424.95344729541</v>
      </c>
      <c r="AA23" s="13">
        <f t="shared" si="24"/>
        <v>-85.217752653664732</v>
      </c>
      <c r="AC23">
        <f t="shared" si="25"/>
        <v>1558.4506594489808</v>
      </c>
      <c r="AD23">
        <f t="shared" si="26"/>
        <v>1.4924266964032713</v>
      </c>
    </row>
    <row r="24" spans="1:30" ht="12" customHeight="1">
      <c r="B24" s="8">
        <f t="shared" si="27"/>
        <v>317.58101080953679</v>
      </c>
      <c r="C24">
        <f t="shared" si="0"/>
        <v>1143.2916389143325</v>
      </c>
      <c r="D24">
        <f t="shared" si="1"/>
        <v>12768.164544843374</v>
      </c>
      <c r="E24">
        <f t="shared" si="2"/>
        <v>0.51221144409838315</v>
      </c>
      <c r="F24">
        <f t="shared" si="3"/>
        <v>3.1342541136295227E-2</v>
      </c>
      <c r="G24" s="7">
        <f t="shared" si="4"/>
        <v>22028.626925600347</v>
      </c>
      <c r="H24" s="8">
        <f t="shared" si="5"/>
        <v>16.342371279692859</v>
      </c>
      <c r="I24" s="7">
        <f t="shared" si="6"/>
        <v>22028.626925600351</v>
      </c>
      <c r="J24" s="7">
        <f t="shared" si="7"/>
        <v>68629.520072685496</v>
      </c>
      <c r="K24" s="7">
        <f t="shared" si="8"/>
        <v>91996.675700650798</v>
      </c>
      <c r="L24" s="10">
        <f t="shared" si="9"/>
        <v>1.122914084509417</v>
      </c>
      <c r="M24">
        <f t="shared" si="10"/>
        <v>17196.364847293382</v>
      </c>
      <c r="N24">
        <f t="shared" si="11"/>
        <v>0.16534966199320558</v>
      </c>
      <c r="O24">
        <f t="shared" si="12"/>
        <v>71816.024005018917</v>
      </c>
      <c r="P24" s="7">
        <f t="shared" si="13"/>
        <v>-4832.2620783069651</v>
      </c>
      <c r="Q24" s="8">
        <f t="shared" si="14"/>
        <v>-0.76915814589719267</v>
      </c>
      <c r="R24" s="7">
        <f t="shared" si="15"/>
        <v>-20180.651695631881</v>
      </c>
      <c r="S24">
        <f t="shared" si="16"/>
        <v>-4.262874098125887</v>
      </c>
      <c r="T24" s="13">
        <f t="shared" si="17"/>
        <v>0.17473187072116922</v>
      </c>
      <c r="U24" s="13">
        <f t="shared" si="18"/>
        <v>122807.62990437736</v>
      </c>
      <c r="V24" s="14">
        <f t="shared" si="19"/>
        <v>382603.45186592703</v>
      </c>
      <c r="W24" s="14">
        <f t="shared" si="20"/>
        <v>512873.25987389684</v>
      </c>
      <c r="X24" s="14">
        <f t="shared" si="21"/>
        <v>-105611.26505708398</v>
      </c>
      <c r="Y24" s="15">
        <f t="shared" si="22"/>
        <v>-17.060755643499888</v>
      </c>
      <c r="Z24" s="14">
        <f t="shared" si="23"/>
        <v>-441057.23586887791</v>
      </c>
      <c r="AA24" s="13">
        <f t="shared" si="24"/>
        <v>-93.167034193618449</v>
      </c>
      <c r="AC24">
        <f t="shared" si="25"/>
        <v>1495.9679596258788</v>
      </c>
      <c r="AD24">
        <f t="shared" si="26"/>
        <v>1.4055254026599859</v>
      </c>
    </row>
    <row r="25" spans="1:30" ht="12" customHeight="1">
      <c r="B25" s="8">
        <f t="shared" si="27"/>
        <v>323.58101080953679</v>
      </c>
      <c r="C25">
        <f t="shared" si="0"/>
        <v>1164.8916389143326</v>
      </c>
      <c r="D25">
        <f t="shared" si="1"/>
        <v>13255.175193686071</v>
      </c>
      <c r="E25">
        <f t="shared" si="2"/>
        <v>0.4933921962129359</v>
      </c>
      <c r="F25">
        <f t="shared" si="3"/>
        <v>3.038011126231157E-2</v>
      </c>
      <c r="G25" s="7">
        <f t="shared" si="4"/>
        <v>22166.625533153125</v>
      </c>
      <c r="H25" s="8">
        <f t="shared" si="5"/>
        <v>16.240631640642469</v>
      </c>
      <c r="I25" s="7">
        <f t="shared" si="6"/>
        <v>22166.625533153132</v>
      </c>
      <c r="J25" s="7">
        <f t="shared" si="7"/>
        <v>70364.178134253467</v>
      </c>
      <c r="K25" s="7">
        <f t="shared" si="8"/>
        <v>94321.954603556922</v>
      </c>
      <c r="L25" s="10">
        <f t="shared" si="9"/>
        <v>1.1441290950979979</v>
      </c>
      <c r="M25">
        <f t="shared" si="10"/>
        <v>17196.364847293382</v>
      </c>
      <c r="N25">
        <f t="shared" si="11"/>
        <v>0.16534966199320558</v>
      </c>
      <c r="O25">
        <f t="shared" si="12"/>
        <v>73172.831022326805</v>
      </c>
      <c r="P25" s="7">
        <f t="shared" si="13"/>
        <v>-4970.2606858597428</v>
      </c>
      <c r="Q25" s="8">
        <f t="shared" si="14"/>
        <v>-0.79112496035448387</v>
      </c>
      <c r="R25" s="7">
        <f t="shared" si="15"/>
        <v>-21149.123581230117</v>
      </c>
      <c r="S25">
        <f t="shared" si="16"/>
        <v>-4.467449935326103</v>
      </c>
      <c r="T25" s="13">
        <f t="shared" si="17"/>
        <v>0.1781125201326875</v>
      </c>
      <c r="U25" s="13">
        <f t="shared" si="18"/>
        <v>129958.49496592899</v>
      </c>
      <c r="V25" s="14">
        <f t="shared" si="19"/>
        <v>412531.11242238531</v>
      </c>
      <c r="W25" s="14">
        <f t="shared" si="20"/>
        <v>552990.76732223236</v>
      </c>
      <c r="X25" s="14">
        <f t="shared" si="21"/>
        <v>-112762.1301186356</v>
      </c>
      <c r="Y25" s="15">
        <f t="shared" si="22"/>
        <v>-18.255225872764168</v>
      </c>
      <c r="Z25" s="14">
        <f t="shared" si="23"/>
        <v>-479817.93629990553</v>
      </c>
      <c r="AA25" s="13">
        <f t="shared" si="24"/>
        <v>-101.35467790229062</v>
      </c>
      <c r="AC25">
        <f t="shared" si="25"/>
        <v>1440.3613836796117</v>
      </c>
      <c r="AD25">
        <f t="shared" si="26"/>
        <v>1.3281874610530167</v>
      </c>
    </row>
    <row r="26" spans="1:30" ht="12" customHeight="1">
      <c r="B26" s="8">
        <f t="shared" si="27"/>
        <v>329.58101080953679</v>
      </c>
      <c r="C26">
        <f t="shared" si="0"/>
        <v>1186.4916389143325</v>
      </c>
      <c r="D26">
        <f t="shared" si="1"/>
        <v>13751.300742646146</v>
      </c>
      <c r="E26">
        <f t="shared" si="2"/>
        <v>0.4755913729468414</v>
      </c>
      <c r="F26">
        <f t="shared" si="3"/>
        <v>2.9502915557015334E-2</v>
      </c>
      <c r="G26" s="7">
        <f t="shared" si="4"/>
        <v>22332.300804187791</v>
      </c>
      <c r="H26" s="8">
        <f t="shared" si="5"/>
        <v>16.120148262219907</v>
      </c>
      <c r="I26" s="7">
        <f t="shared" si="6"/>
        <v>22332.300804187787</v>
      </c>
      <c r="J26" s="7">
        <f t="shared" si="7"/>
        <v>72204.565295646535</v>
      </c>
      <c r="K26" s="7">
        <f t="shared" si="8"/>
        <v>96788.961522314392</v>
      </c>
      <c r="L26" s="10">
        <f t="shared" si="9"/>
        <v>1.1653441056865785</v>
      </c>
      <c r="M26">
        <f t="shared" si="10"/>
        <v>17196.364847293382</v>
      </c>
      <c r="N26">
        <f t="shared" si="11"/>
        <v>0.16534966199320558</v>
      </c>
      <c r="O26">
        <f t="shared" si="12"/>
        <v>74529.638039634694</v>
      </c>
      <c r="P26" s="7">
        <f t="shared" si="13"/>
        <v>-5135.9359568944092</v>
      </c>
      <c r="Q26" s="8">
        <f t="shared" si="14"/>
        <v>-0.81749753931887059</v>
      </c>
      <c r="R26" s="7">
        <f t="shared" si="15"/>
        <v>-22259.323482679698</v>
      </c>
      <c r="S26">
        <f t="shared" si="16"/>
        <v>-4.7019637892397368</v>
      </c>
      <c r="T26" s="13">
        <f t="shared" si="17"/>
        <v>0.18113341327592292</v>
      </c>
      <c r="U26" s="13">
        <f t="shared" si="18"/>
        <v>137109.36002748055</v>
      </c>
      <c r="V26" s="14">
        <f t="shared" si="19"/>
        <v>443300.5728138893</v>
      </c>
      <c r="W26" s="14">
        <f t="shared" si="20"/>
        <v>594236.6927800125</v>
      </c>
      <c r="X26" s="14">
        <f t="shared" si="21"/>
        <v>-119912.99518018716</v>
      </c>
      <c r="Y26" s="15">
        <f t="shared" si="22"/>
        <v>-19.457967271682822</v>
      </c>
      <c r="Z26" s="14">
        <f t="shared" si="23"/>
        <v>-519707.05474037782</v>
      </c>
      <c r="AA26" s="13">
        <f t="shared" si="24"/>
        <v>-109.78068377968111</v>
      </c>
      <c r="AC26">
        <f t="shared" si="25"/>
        <v>1390.555069962664</v>
      </c>
      <c r="AD26">
        <f t="shared" si="26"/>
        <v>1.2589165570933509</v>
      </c>
    </row>
    <row r="27" spans="1:30" ht="12" customHeight="1">
      <c r="B27" s="8">
        <f t="shared" si="27"/>
        <v>335.58101080953679</v>
      </c>
      <c r="C27">
        <f t="shared" si="0"/>
        <v>1208.0916389143324</v>
      </c>
      <c r="D27">
        <f t="shared" si="1"/>
        <v>14256.541191723594</v>
      </c>
      <c r="E27">
        <f t="shared" si="2"/>
        <v>0.45873679401261025</v>
      </c>
      <c r="F27">
        <f t="shared" si="3"/>
        <v>2.870205418940399E-2</v>
      </c>
      <c r="G27" s="7">
        <f t="shared" si="4"/>
        <v>22524.331257155267</v>
      </c>
      <c r="H27" s="8">
        <f t="shared" si="5"/>
        <v>15.98271646292004</v>
      </c>
      <c r="I27" s="7">
        <f t="shared" si="6"/>
        <v>22524.331257155271</v>
      </c>
      <c r="J27" s="7">
        <f t="shared" si="7"/>
        <v>74151.218319143954</v>
      </c>
      <c r="K27" s="7">
        <f t="shared" si="8"/>
        <v>99398.415977404758</v>
      </c>
      <c r="L27" s="10">
        <f t="shared" si="9"/>
        <v>1.1865591162751594</v>
      </c>
      <c r="M27">
        <f t="shared" si="10"/>
        <v>17196.364847293382</v>
      </c>
      <c r="N27">
        <f t="shared" si="11"/>
        <v>0.16534966199320558</v>
      </c>
      <c r="O27">
        <f t="shared" si="12"/>
        <v>75886.445056942583</v>
      </c>
      <c r="P27" s="7">
        <f t="shared" si="13"/>
        <v>-5327.966409861885</v>
      </c>
      <c r="Q27" s="8">
        <f t="shared" si="14"/>
        <v>-0.84806561514962553</v>
      </c>
      <c r="R27" s="7">
        <f t="shared" si="15"/>
        <v>-23511.970920462176</v>
      </c>
      <c r="S27">
        <f t="shared" si="16"/>
        <v>-4.9665676482797556</v>
      </c>
      <c r="T27" s="13">
        <f t="shared" si="17"/>
        <v>0.1838263143357782</v>
      </c>
      <c r="U27" s="13">
        <f t="shared" si="18"/>
        <v>144260.22508903217</v>
      </c>
      <c r="V27" s="14">
        <f t="shared" si="19"/>
        <v>474911.83304043935</v>
      </c>
      <c r="W27" s="14">
        <f t="shared" si="20"/>
        <v>636611.0362472377</v>
      </c>
      <c r="X27" s="14">
        <f t="shared" si="21"/>
        <v>-127063.86024173879</v>
      </c>
      <c r="Y27" s="15">
        <f t="shared" si="22"/>
        <v>-20.66969569595852</v>
      </c>
      <c r="Z27" s="14">
        <f t="shared" si="23"/>
        <v>-560724.59119029506</v>
      </c>
      <c r="AA27" s="13">
        <f t="shared" si="24"/>
        <v>-118.44505182579005</v>
      </c>
      <c r="AC27">
        <f t="shared" si="25"/>
        <v>1345.6864752654019</v>
      </c>
      <c r="AD27">
        <f t="shared" si="26"/>
        <v>1.1965130607867855</v>
      </c>
    </row>
    <row r="28" spans="1:30" ht="12" customHeight="1">
      <c r="B28" s="8">
        <f t="shared" si="27"/>
        <v>341.58101080953679</v>
      </c>
      <c r="C28">
        <f t="shared" si="0"/>
        <v>1229.6916389143325</v>
      </c>
      <c r="D28">
        <f t="shared" si="1"/>
        <v>14770.89654091842</v>
      </c>
      <c r="E28">
        <f t="shared" si="2"/>
        <v>0.44276256230506084</v>
      </c>
      <c r="F28">
        <f t="shared" si="3"/>
        <v>2.7969692873945483E-2</v>
      </c>
      <c r="G28" s="7">
        <f t="shared" si="4"/>
        <v>22741.510443430012</v>
      </c>
      <c r="H28" s="8">
        <f t="shared" si="5"/>
        <v>15.83008309388717</v>
      </c>
      <c r="I28" s="7">
        <f t="shared" si="6"/>
        <v>22741.510443430016</v>
      </c>
      <c r="J28" s="7">
        <f t="shared" si="7"/>
        <v>76204.748302350155</v>
      </c>
      <c r="K28" s="7">
        <f t="shared" si="8"/>
        <v>102151.13713451763</v>
      </c>
      <c r="L28" s="10">
        <f t="shared" si="9"/>
        <v>1.2077741268637401</v>
      </c>
      <c r="M28">
        <f t="shared" si="10"/>
        <v>17196.364847293382</v>
      </c>
      <c r="N28">
        <f t="shared" si="11"/>
        <v>0.16534966199320558</v>
      </c>
      <c r="O28">
        <f t="shared" si="12"/>
        <v>77243.252074250486</v>
      </c>
      <c r="P28" s="7">
        <f t="shared" si="13"/>
        <v>-5545.14559613663</v>
      </c>
      <c r="Q28" s="8">
        <f t="shared" si="14"/>
        <v>-0.88263724519278752</v>
      </c>
      <c r="R28" s="7">
        <f t="shared" si="15"/>
        <v>-24907.885060267145</v>
      </c>
      <c r="S28">
        <f t="shared" si="16"/>
        <v>-5.2614345494844512</v>
      </c>
      <c r="T28" s="13">
        <f t="shared" si="17"/>
        <v>0.1862198951013195</v>
      </c>
      <c r="U28" s="13">
        <f t="shared" si="18"/>
        <v>151411.09015058374</v>
      </c>
      <c r="V28" s="14">
        <f t="shared" si="19"/>
        <v>507364.89310203504</v>
      </c>
      <c r="W28" s="14">
        <f t="shared" si="20"/>
        <v>680113.79772390751</v>
      </c>
      <c r="X28" s="14">
        <f t="shared" si="21"/>
        <v>-134214.72530329035</v>
      </c>
      <c r="Y28" s="15">
        <f t="shared" si="22"/>
        <v>-21.891170455438257</v>
      </c>
      <c r="Z28" s="14">
        <f t="shared" si="23"/>
        <v>-602870.54564965703</v>
      </c>
      <c r="AA28" s="13">
        <f t="shared" si="24"/>
        <v>-127.34778204061733</v>
      </c>
      <c r="AC28">
        <f t="shared" si="25"/>
        <v>1305.0560016445093</v>
      </c>
      <c r="AD28">
        <f t="shared" si="26"/>
        <v>1.1400039673408495</v>
      </c>
    </row>
    <row r="29" spans="1:30" ht="12" customHeight="1">
      <c r="B29" s="8">
        <f t="shared" si="27"/>
        <v>347.58101080953679</v>
      </c>
      <c r="C29">
        <f t="shared" si="0"/>
        <v>1251.2916389143325</v>
      </c>
      <c r="D29">
        <f t="shared" si="1"/>
        <v>15294.366790230621</v>
      </c>
      <c r="E29">
        <f t="shared" si="2"/>
        <v>0.42760841881845474</v>
      </c>
      <c r="F29">
        <f t="shared" si="3"/>
        <v>2.7298919533595041E-2</v>
      </c>
      <c r="G29" s="7">
        <f t="shared" si="4"/>
        <v>22982.735137089574</v>
      </c>
      <c r="H29" s="8">
        <f t="shared" si="5"/>
        <v>15.663931984275946</v>
      </c>
      <c r="I29" s="7">
        <f t="shared" si="6"/>
        <v>22982.735137089574</v>
      </c>
      <c r="J29" s="7">
        <f t="shared" si="7"/>
        <v>78365.834262252218</v>
      </c>
      <c r="K29" s="7">
        <f t="shared" si="8"/>
        <v>105048.03520409144</v>
      </c>
      <c r="L29" s="10">
        <f t="shared" si="9"/>
        <v>1.2289891374523207</v>
      </c>
      <c r="M29">
        <f t="shared" si="10"/>
        <v>17196.364847293382</v>
      </c>
      <c r="N29">
        <f t="shared" si="11"/>
        <v>0.16534966199320558</v>
      </c>
      <c r="O29">
        <f t="shared" si="12"/>
        <v>78600.059091558374</v>
      </c>
      <c r="P29" s="7">
        <f t="shared" si="13"/>
        <v>-5786.3702897961921</v>
      </c>
      <c r="Q29" s="8">
        <f t="shared" si="14"/>
        <v>-0.92103693225104499</v>
      </c>
      <c r="R29" s="7">
        <f t="shared" si="15"/>
        <v>-26447.97611253307</v>
      </c>
      <c r="S29">
        <f t="shared" si="16"/>
        <v>-5.5867567617934286</v>
      </c>
      <c r="T29" s="13">
        <f t="shared" si="17"/>
        <v>0.1883400748695106</v>
      </c>
      <c r="U29" s="13">
        <f t="shared" si="18"/>
        <v>158561.9552121353</v>
      </c>
      <c r="V29" s="14">
        <f t="shared" si="19"/>
        <v>540659.7529986765</v>
      </c>
      <c r="W29" s="14">
        <f t="shared" si="20"/>
        <v>724744.97721002216</v>
      </c>
      <c r="X29" s="14">
        <f t="shared" si="21"/>
        <v>-141365.59036484192</v>
      </c>
      <c r="Y29" s="15">
        <f t="shared" si="22"/>
        <v>-23.123199880999781</v>
      </c>
      <c r="Z29" s="14">
        <f t="shared" si="23"/>
        <v>-646144.91811846383</v>
      </c>
      <c r="AA29" s="13">
        <f t="shared" si="24"/>
        <v>-136.48887442416299</v>
      </c>
      <c r="AC29">
        <f t="shared" si="25"/>
        <v>1268.0902536995989</v>
      </c>
      <c r="AD29">
        <f t="shared" si="26"/>
        <v>1.0885917951764643</v>
      </c>
    </row>
    <row r="30" spans="1:30" ht="12" customHeight="1" thickBot="1">
      <c r="B30" s="8">
        <f t="shared" si="27"/>
        <v>353.58101080953679</v>
      </c>
      <c r="C30">
        <f t="shared" si="0"/>
        <v>1272.8916389143326</v>
      </c>
      <c r="D30">
        <f t="shared" si="1"/>
        <v>15826.951939660195</v>
      </c>
      <c r="E30">
        <f t="shared" si="2"/>
        <v>0.41321917352965787</v>
      </c>
      <c r="F30">
        <f t="shared" si="3"/>
        <v>2.6683622294513897E-2</v>
      </c>
      <c r="G30" s="7">
        <f t="shared" si="4"/>
        <v>23246.994915485324</v>
      </c>
      <c r="H30" s="8">
        <f t="shared" si="5"/>
        <v>15.485872531429699</v>
      </c>
      <c r="I30" s="7">
        <f t="shared" si="6"/>
        <v>23246.99491548532</v>
      </c>
      <c r="J30" s="7">
        <f t="shared" si="7"/>
        <v>80635.217372519357</v>
      </c>
      <c r="K30" s="7">
        <f t="shared" si="8"/>
        <v>108090.10371651388</v>
      </c>
      <c r="L30" s="10">
        <f t="shared" si="9"/>
        <v>1.2502041480409016</v>
      </c>
      <c r="M30">
        <f t="shared" si="10"/>
        <v>17196.364847293382</v>
      </c>
      <c r="N30">
        <f t="shared" si="11"/>
        <v>0.16534966199320558</v>
      </c>
      <c r="O30">
        <f t="shared" si="12"/>
        <v>79956.866108866278</v>
      </c>
      <c r="P30" s="7">
        <f t="shared" si="13"/>
        <v>-6050.630068191942</v>
      </c>
      <c r="Q30" s="8">
        <f t="shared" si="14"/>
        <v>-0.96310396663878661</v>
      </c>
      <c r="R30" s="7">
        <f>$O30-$K30</f>
        <v>-28133.237607647607</v>
      </c>
      <c r="S30">
        <f t="shared" si="16"/>
        <v>-5.94274415429412</v>
      </c>
      <c r="T30" s="13">
        <f t="shared" si="17"/>
        <v>0.19021031843544894</v>
      </c>
      <c r="U30" s="13">
        <f t="shared" si="18"/>
        <v>165712.82027368693</v>
      </c>
      <c r="V30" s="14">
        <f t="shared" si="19"/>
        <v>574796.41273036413</v>
      </c>
      <c r="W30" s="14">
        <f t="shared" si="20"/>
        <v>770504.574705582</v>
      </c>
      <c r="X30" s="14">
        <f t="shared" si="21"/>
        <v>-148516.45542639354</v>
      </c>
      <c r="Y30" s="15">
        <f t="shared" si="22"/>
        <v>-24.366647677020385</v>
      </c>
      <c r="Z30" s="14">
        <f t="shared" si="23"/>
        <v>-690547.7085967157</v>
      </c>
      <c r="AA30" s="13">
        <f t="shared" si="24"/>
        <v>-145.86832897642711</v>
      </c>
      <c r="AC30">
        <f t="shared" si="25"/>
        <v>1234.3148090156769</v>
      </c>
      <c r="AD30">
        <f t="shared" si="26"/>
        <v>1.0416167149046869</v>
      </c>
    </row>
    <row r="31" spans="1:30" s="6" customFormat="1" ht="13.5" thickBot="1">
      <c r="A31" s="5"/>
      <c r="B31" s="6" t="s">
        <v>31</v>
      </c>
      <c r="D31" s="6" t="s">
        <v>32</v>
      </c>
      <c r="G31" s="6" t="s">
        <v>33</v>
      </c>
      <c r="J31" s="6" t="s">
        <v>34</v>
      </c>
      <c r="O31" s="6" t="s">
        <v>35</v>
      </c>
    </row>
    <row r="32" spans="1:30" s="1" customFormat="1" ht="23.85" customHeight="1">
      <c r="A32" s="1" t="s">
        <v>3</v>
      </c>
      <c r="B32" s="1" t="s">
        <v>4</v>
      </c>
      <c r="D32" s="1" t="s">
        <v>8</v>
      </c>
      <c r="E32" s="1" t="s">
        <v>96</v>
      </c>
      <c r="G32" s="1" t="s">
        <v>71</v>
      </c>
      <c r="J32" s="1" t="s">
        <v>13</v>
      </c>
      <c r="K32" s="1" t="s">
        <v>14</v>
      </c>
      <c r="L32" s="1" t="s">
        <v>15</v>
      </c>
      <c r="M32" s="11" t="str">
        <f>SL!M32</f>
        <v>MDD</v>
      </c>
      <c r="N32" s="11"/>
      <c r="O32" s="1" t="s">
        <v>58</v>
      </c>
      <c r="P32" s="1" t="s">
        <v>16</v>
      </c>
      <c r="Q32" s="1" t="s">
        <v>70</v>
      </c>
      <c r="R32" s="1" t="s">
        <v>60</v>
      </c>
      <c r="S32" s="1" t="s">
        <v>94</v>
      </c>
    </row>
    <row r="33" spans="1:20">
      <c r="A33">
        <f>SL!A33</f>
        <v>540</v>
      </c>
      <c r="B33">
        <f>SL!B33</f>
        <v>65</v>
      </c>
      <c r="D33">
        <f>SL!D33</f>
        <v>360000</v>
      </c>
      <c r="E33">
        <f>SL!$E$33</f>
        <v>90000</v>
      </c>
      <c r="G33">
        <v>45000</v>
      </c>
      <c r="J33">
        <f>SL!J33</f>
        <v>1.7999999999999999E-2</v>
      </c>
      <c r="K33">
        <f>SL!K33</f>
        <v>0.8</v>
      </c>
      <c r="L33">
        <f>SL!L33</f>
        <v>1.5</v>
      </c>
      <c r="M33">
        <f>SL!M33</f>
        <v>0.83</v>
      </c>
      <c r="O33">
        <f>SL!O33</f>
        <v>26000</v>
      </c>
      <c r="P33">
        <f>SL!P33</f>
        <v>4</v>
      </c>
      <c r="Q33">
        <f>SL!Q33</f>
        <v>1</v>
      </c>
      <c r="R33">
        <f>SL!R33</f>
        <v>0.8</v>
      </c>
      <c r="S33">
        <f>SL!$S$33</f>
        <v>0.6</v>
      </c>
    </row>
    <row r="34" spans="1:20" s="3" customFormat="1" ht="20.85" customHeight="1">
      <c r="A34" s="3" t="s">
        <v>5</v>
      </c>
      <c r="D34" s="3" t="s">
        <v>9</v>
      </c>
      <c r="E34" s="3" t="s">
        <v>10</v>
      </c>
      <c r="F34" s="3" t="s">
        <v>72</v>
      </c>
      <c r="G34" s="3" t="s">
        <v>6</v>
      </c>
      <c r="H34" s="3" t="s">
        <v>7</v>
      </c>
      <c r="J34" s="3" t="s">
        <v>30</v>
      </c>
      <c r="O34" s="3" t="s">
        <v>59</v>
      </c>
      <c r="Q34" s="3" t="s">
        <v>61</v>
      </c>
      <c r="R34" s="3" t="s">
        <v>62</v>
      </c>
      <c r="T34" s="3" t="s">
        <v>103</v>
      </c>
    </row>
    <row r="35" spans="1:20">
      <c r="A35">
        <f>B33^2/A33</f>
        <v>7.8240740740740744</v>
      </c>
      <c r="D35">
        <f>D33/A33</f>
        <v>666.66666666666663</v>
      </c>
      <c r="E35">
        <f>D35*9.81</f>
        <v>6540</v>
      </c>
      <c r="F35">
        <f>$G$33*0.3048</f>
        <v>13716</v>
      </c>
      <c r="G35">
        <f>288-6.5*$F$35/1000</f>
        <v>198.846</v>
      </c>
      <c r="H35">
        <f>G35/288</f>
        <v>0.69043750000000004</v>
      </c>
      <c r="J35">
        <f>1/(3.1415*$A$35*$K$33)</f>
        <v>5.0855742037073826E-2</v>
      </c>
      <c r="O35">
        <f>$O$33*$P$33</f>
        <v>104000</v>
      </c>
      <c r="Q35">
        <f>$O$35*$Q$33</f>
        <v>104000</v>
      </c>
      <c r="R35">
        <f>$Q$35*$R$33</f>
        <v>83200</v>
      </c>
      <c r="T35">
        <f>R35*G37</f>
        <v>17196.364847293382</v>
      </c>
    </row>
    <row r="36" spans="1:20" s="3" customFormat="1" ht="20.85" customHeight="1">
      <c r="G36" s="3" t="s">
        <v>11</v>
      </c>
      <c r="H36" s="3" t="s">
        <v>12</v>
      </c>
      <c r="J36" s="3" t="s">
        <v>63</v>
      </c>
      <c r="M36" s="3" t="s">
        <v>86</v>
      </c>
    </row>
    <row r="37" spans="1:20">
      <c r="G37">
        <f>$H$35^4.256</f>
        <v>0.206687077491507</v>
      </c>
      <c r="H37">
        <f>1.225*$G$37</f>
        <v>0.25319166992709607</v>
      </c>
      <c r="J37">
        <f>340.3*(1-2.255*0.00001*$F$35)^0.5</f>
        <v>282.81861915400481</v>
      </c>
      <c r="M37">
        <f>P57</f>
        <v>24076.164076959969</v>
      </c>
    </row>
    <row r="38" spans="1:20" s="4" customFormat="1" ht="20.100000000000001" customHeight="1"/>
    <row r="39" spans="1:20">
      <c r="A39" t="s">
        <v>21</v>
      </c>
      <c r="B39">
        <f>SQRT(3.1415*$A$35*$K$33/(4*$J$33))</f>
        <v>16.525848004364995</v>
      </c>
      <c r="C39" t="s">
        <v>18</v>
      </c>
      <c r="D39">
        <f>$L$33</f>
        <v>1.5</v>
      </c>
      <c r="E39" t="s">
        <v>22</v>
      </c>
      <c r="F39">
        <f>3.6*SQRT((2/$H$37)*($E$35)*(1/$D39))</f>
        <v>668.09163891433241</v>
      </c>
      <c r="H39" t="s">
        <v>36</v>
      </c>
      <c r="I39">
        <f>$J$33+$J$35*$D39^2</f>
        <v>0.13242541958341611</v>
      </c>
      <c r="K39" t="s">
        <v>26</v>
      </c>
      <c r="L39">
        <f>$D39/$I39</f>
        <v>11.327130430990517</v>
      </c>
      <c r="M39" t="s">
        <v>40</v>
      </c>
      <c r="O39">
        <f>$D$33/$L39</f>
        <v>31782.100700019862</v>
      </c>
      <c r="Q39" t="s">
        <v>46</v>
      </c>
      <c r="R39">
        <f>($O39*$F39*9.81/3.6)/746</f>
        <v>77561.520649631755</v>
      </c>
    </row>
    <row r="40" spans="1:20">
      <c r="C40" t="s">
        <v>17</v>
      </c>
      <c r="D40">
        <f>$D$41*SQRT(3)</f>
        <v>1.0304499017419528</v>
      </c>
      <c r="E40" t="s">
        <v>23</v>
      </c>
      <c r="F40">
        <f>3.6*SQRT((2/$H$37)*($E$35)*(1/$D40))</f>
        <v>806.06158666746819</v>
      </c>
      <c r="H40" t="s">
        <v>37</v>
      </c>
      <c r="I40">
        <f>$J$33+$J$35*$D40^2</f>
        <v>7.2000000000000008E-2</v>
      </c>
      <c r="K40" t="s">
        <v>27</v>
      </c>
      <c r="L40">
        <f>$D40/$I40</f>
        <v>14.311804190860455</v>
      </c>
      <c r="M40" t="s">
        <v>41</v>
      </c>
      <c r="O40">
        <f>$D$33/$L40</f>
        <v>25154.061304856077</v>
      </c>
      <c r="Q40" t="s">
        <v>47</v>
      </c>
      <c r="R40">
        <f>($O40*$F40*9.81/3.6)/746</f>
        <v>74063.463798626442</v>
      </c>
    </row>
    <row r="41" spans="1:20">
      <c r="C41" t="s">
        <v>20</v>
      </c>
      <c r="D41">
        <f>SQRT(3.1415*$A$35*$K$33*$J$33)</f>
        <v>0.59493052815713987</v>
      </c>
      <c r="E41" t="s">
        <v>24</v>
      </c>
      <c r="F41">
        <f>3.6*SQRT((2/$H$37)*($E$35)*(1/$D41))</f>
        <v>1060.8367070523084</v>
      </c>
      <c r="H41" t="s">
        <v>39</v>
      </c>
      <c r="I41">
        <f>$J$33+$J$35*$D41^2</f>
        <v>3.6000000000000004E-2</v>
      </c>
      <c r="K41" t="s">
        <v>28</v>
      </c>
      <c r="L41">
        <f>$D41/$I41</f>
        <v>16.525848004364995</v>
      </c>
      <c r="M41" t="s">
        <v>42</v>
      </c>
      <c r="O41">
        <f>$D$33/$L41</f>
        <v>21784.056098356508</v>
      </c>
      <c r="Q41" t="s">
        <v>44</v>
      </c>
      <c r="R41">
        <f>($O41*$F41*9.81/3.6)/746</f>
        <v>84414.094195741854</v>
      </c>
    </row>
    <row r="42" spans="1:20">
      <c r="C42" t="s">
        <v>19</v>
      </c>
      <c r="D42">
        <f>$D$41/SQRT(3)</f>
        <v>0.34348330058065096</v>
      </c>
      <c r="E42" t="s">
        <v>25</v>
      </c>
      <c r="F42">
        <f>3.6*SQRT((2/$H$37)*($E$35)*(1/$D42))</f>
        <v>1396.1396221376388</v>
      </c>
      <c r="H42" t="s">
        <v>38</v>
      </c>
      <c r="I42">
        <f>$J$33+$J$35*$D42^2</f>
        <v>2.4E-2</v>
      </c>
      <c r="K42" t="s">
        <v>29</v>
      </c>
      <c r="L42">
        <f>$D42/$I42</f>
        <v>14.311804190860457</v>
      </c>
      <c r="M42" t="s">
        <v>43</v>
      </c>
      <c r="O42">
        <f>$D$33/$L42</f>
        <v>25154.061304856074</v>
      </c>
      <c r="Q42" t="s">
        <v>45</v>
      </c>
      <c r="R42">
        <f>($O42*$F42*9.81/3.6)/746</f>
        <v>128281.68228375922</v>
      </c>
    </row>
    <row r="44" spans="1:20">
      <c r="A44" t="s">
        <v>54</v>
      </c>
      <c r="B44" t="s">
        <v>49</v>
      </c>
      <c r="C44" t="s">
        <v>50</v>
      </c>
      <c r="E44" t="s">
        <v>50</v>
      </c>
    </row>
    <row r="45" spans="1:20">
      <c r="A45">
        <v>0.1</v>
      </c>
      <c r="B45">
        <v>0</v>
      </c>
      <c r="C45">
        <f>$J$33+$J$35*$B45^2</f>
        <v>1.7999999999999999E-2</v>
      </c>
      <c r="E45">
        <f>$J$33+$J$35*$B45^2</f>
        <v>1.7999999999999999E-2</v>
      </c>
    </row>
    <row r="46" spans="1:20">
      <c r="B46">
        <f>B45+$A$45</f>
        <v>0.1</v>
      </c>
      <c r="C46">
        <f t="shared" ref="C46:E63" si="28">$J$33+$J$35*$B46^2</f>
        <v>1.8508557420370737E-2</v>
      </c>
      <c r="E46">
        <f t="shared" si="28"/>
        <v>1.8508557420370737E-2</v>
      </c>
      <c r="H46" s="9"/>
    </row>
    <row r="47" spans="1:20">
      <c r="B47">
        <f t="shared" ref="B47:B63" si="29">B46+$A$45</f>
        <v>0.2</v>
      </c>
      <c r="C47">
        <f t="shared" si="28"/>
        <v>2.0034229681482951E-2</v>
      </c>
      <c r="E47">
        <f t="shared" si="28"/>
        <v>2.0034229681482951E-2</v>
      </c>
      <c r="H47" s="9"/>
      <c r="J47" t="s">
        <v>74</v>
      </c>
      <c r="K47">
        <f>$R$35/$D$33</f>
        <v>0.2311111111111111</v>
      </c>
    </row>
    <row r="48" spans="1:20">
      <c r="B48">
        <f t="shared" si="29"/>
        <v>0.30000000000000004</v>
      </c>
      <c r="C48">
        <f t="shared" si="28"/>
        <v>2.2577016783336644E-2</v>
      </c>
      <c r="E48">
        <f t="shared" si="28"/>
        <v>2.2577016783336644E-2</v>
      </c>
      <c r="H48" s="9"/>
      <c r="J48" t="s">
        <v>75</v>
      </c>
      <c r="K48">
        <f>(1+SQRT(1-1/(($K$47^2)*($B$39^2))))</f>
        <v>1.9651146612052111</v>
      </c>
    </row>
    <row r="49" spans="2:17">
      <c r="B49">
        <f t="shared" si="29"/>
        <v>0.4</v>
      </c>
      <c r="C49">
        <f t="shared" si="28"/>
        <v>2.613691872593181E-2</v>
      </c>
      <c r="E49">
        <f t="shared" si="28"/>
        <v>2.613691872593181E-2</v>
      </c>
      <c r="H49" s="9"/>
      <c r="J49" t="s">
        <v>76</v>
      </c>
      <c r="K49">
        <f>SQRT(($K$47*$E$35)*$K$48/($H$37*$J$33))</f>
        <v>807.29502419146183</v>
      </c>
      <c r="L49" t="s">
        <v>77</v>
      </c>
      <c r="O49" t="s">
        <v>78</v>
      </c>
      <c r="P49">
        <f>$K$49*3.6</f>
        <v>2906.2620870892629</v>
      </c>
    </row>
    <row r="50" spans="2:17">
      <c r="B50">
        <f t="shared" si="29"/>
        <v>0.5</v>
      </c>
      <c r="C50">
        <f t="shared" si="28"/>
        <v>3.0713935509268455E-2</v>
      </c>
      <c r="E50">
        <f t="shared" si="28"/>
        <v>3.0713935509268455E-2</v>
      </c>
      <c r="H50" s="9"/>
    </row>
    <row r="51" spans="2:17">
      <c r="B51">
        <f t="shared" si="29"/>
        <v>0.6</v>
      </c>
      <c r="C51">
        <f t="shared" si="28"/>
        <v>3.6308067133346576E-2</v>
      </c>
      <c r="E51">
        <f t="shared" si="28"/>
        <v>3.6308067133346576E-2</v>
      </c>
      <c r="O51" t="s">
        <v>79</v>
      </c>
      <c r="P51">
        <f>$K$49/$J$37</f>
        <v>2.85446208105507</v>
      </c>
    </row>
    <row r="52" spans="2:17">
      <c r="B52">
        <f t="shared" si="29"/>
        <v>0.7</v>
      </c>
      <c r="C52">
        <f t="shared" si="28"/>
        <v>4.291931359816617E-2</v>
      </c>
      <c r="E52">
        <f t="shared" si="28"/>
        <v>4.291931359816617E-2</v>
      </c>
    </row>
    <row r="53" spans="2:17">
      <c r="B53">
        <f t="shared" si="29"/>
        <v>0.79999999999999993</v>
      </c>
      <c r="C53">
        <f t="shared" si="28"/>
        <v>5.0547674903727247E-2</v>
      </c>
      <c r="E53">
        <f t="shared" si="28"/>
        <v>5.0547674903727247E-2</v>
      </c>
      <c r="J53" t="s">
        <v>80</v>
      </c>
      <c r="K53">
        <f>$M$33*$J$37</f>
        <v>234.73945389782398</v>
      </c>
      <c r="L53" t="s">
        <v>77</v>
      </c>
      <c r="O53" t="s">
        <v>80</v>
      </c>
      <c r="P53">
        <f>$K$53*3.6</f>
        <v>845.06203403216637</v>
      </c>
      <c r="Q53" t="s">
        <v>81</v>
      </c>
    </row>
    <row r="54" spans="2:17">
      <c r="B54">
        <f t="shared" si="29"/>
        <v>0.89999999999999991</v>
      </c>
      <c r="C54">
        <f t="shared" si="28"/>
        <v>5.9193151050029785E-2</v>
      </c>
      <c r="E54">
        <f t="shared" si="28"/>
        <v>5.9193151050029785E-2</v>
      </c>
      <c r="J54" t="s">
        <v>82</v>
      </c>
      <c r="K54">
        <f>0.5*$H$37*($K$53)^2</f>
        <v>6975.7610755927626</v>
      </c>
      <c r="L54" t="s">
        <v>83</v>
      </c>
    </row>
    <row r="55" spans="2:17">
      <c r="B55">
        <f t="shared" si="29"/>
        <v>0.99999999999999989</v>
      </c>
      <c r="C55">
        <f t="shared" si="28"/>
        <v>6.8855742037073814E-2</v>
      </c>
      <c r="E55">
        <f t="shared" si="28"/>
        <v>6.8855742037073814E-2</v>
      </c>
      <c r="J55" t="s">
        <v>84</v>
      </c>
      <c r="K55">
        <f>(D33*9.81)/(K54*A33)</f>
        <v>0.93753210999192171</v>
      </c>
    </row>
    <row r="56" spans="2:17">
      <c r="B56">
        <f t="shared" si="29"/>
        <v>1.0999999999999999</v>
      </c>
      <c r="C56">
        <f t="shared" si="28"/>
        <v>7.9535447864859318E-2</v>
      </c>
      <c r="E56">
        <f t="shared" si="28"/>
        <v>7.9535447864859318E-2</v>
      </c>
      <c r="J56" t="s">
        <v>85</v>
      </c>
      <c r="K56">
        <f>J33+J35*(K55)^2</f>
        <v>6.2700491409955525E-2</v>
      </c>
    </row>
    <row r="57" spans="2:17">
      <c r="B57">
        <f t="shared" si="29"/>
        <v>1.2</v>
      </c>
      <c r="C57">
        <f t="shared" si="28"/>
        <v>9.1232268533386313E-2</v>
      </c>
      <c r="E57">
        <f t="shared" si="28"/>
        <v>9.1232268533386313E-2</v>
      </c>
      <c r="J57" t="s">
        <v>86</v>
      </c>
      <c r="K57">
        <f>K54*A33*K56</f>
        <v>236187.16959497731</v>
      </c>
      <c r="L57" t="s">
        <v>87</v>
      </c>
      <c r="O57" t="s">
        <v>86</v>
      </c>
      <c r="P57">
        <f>K57/9.81</f>
        <v>24076.164076959969</v>
      </c>
      <c r="Q57" t="s">
        <v>88</v>
      </c>
    </row>
    <row r="58" spans="2:17">
      <c r="B58">
        <f t="shared" si="29"/>
        <v>1.3</v>
      </c>
      <c r="C58">
        <f t="shared" si="28"/>
        <v>0.10394620404265477</v>
      </c>
      <c r="E58">
        <f t="shared" si="28"/>
        <v>0.10394620404265477</v>
      </c>
    </row>
    <row r="59" spans="2:17">
      <c r="B59">
        <f>B58+$A$45</f>
        <v>1.4000000000000001</v>
      </c>
      <c r="C59">
        <f t="shared" si="28"/>
        <v>0.11767725439266472</v>
      </c>
      <c r="E59">
        <f t="shared" si="28"/>
        <v>0.11767725439266472</v>
      </c>
      <c r="J59" t="s">
        <v>89</v>
      </c>
      <c r="K59">
        <f>($R$35-$P$57)/(14*$P$57)</f>
        <v>0.17540714226156104</v>
      </c>
    </row>
    <row r="60" spans="2:17">
      <c r="B60">
        <f t="shared" si="29"/>
        <v>1.5000000000000002</v>
      </c>
      <c r="C60">
        <f t="shared" si="28"/>
        <v>0.13242541958341614</v>
      </c>
      <c r="E60">
        <f t="shared" si="28"/>
        <v>0.13242541958341614</v>
      </c>
      <c r="J60" t="s">
        <v>90</v>
      </c>
      <c r="K60">
        <f>M33+K59</f>
        <v>1.0054071422615609</v>
      </c>
    </row>
    <row r="61" spans="2:17">
      <c r="B61">
        <f t="shared" si="29"/>
        <v>1.6000000000000003</v>
      </c>
      <c r="C61">
        <f t="shared" si="28"/>
        <v>0.14819069961490902</v>
      </c>
      <c r="E61">
        <f t="shared" si="28"/>
        <v>0.14819069961490902</v>
      </c>
    </row>
    <row r="62" spans="2:17">
      <c r="B62">
        <f t="shared" si="29"/>
        <v>1.7000000000000004</v>
      </c>
      <c r="C62">
        <f t="shared" si="28"/>
        <v>0.16497309448714342</v>
      </c>
      <c r="E62">
        <f t="shared" si="28"/>
        <v>0.16497309448714342</v>
      </c>
    </row>
    <row r="63" spans="2:17">
      <c r="B63">
        <f t="shared" si="29"/>
        <v>1.8000000000000005</v>
      </c>
      <c r="C63">
        <f t="shared" si="28"/>
        <v>0.18277260420011926</v>
      </c>
      <c r="E63">
        <f t="shared" si="28"/>
        <v>0.18277260420011926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M2:O4"/>
  <sheetViews>
    <sheetView topLeftCell="A22" workbookViewId="0">
      <selection activeCell="A34" sqref="A34"/>
    </sheetView>
  </sheetViews>
  <sheetFormatPr defaultRowHeight="12.75"/>
  <cols>
    <col min="14" max="14" width="13.85546875" customWidth="1"/>
    <col min="15" max="15" width="15.85546875" customWidth="1"/>
  </cols>
  <sheetData>
    <row r="2" spans="13:15">
      <c r="M2" t="s">
        <v>101</v>
      </c>
      <c r="N2" t="s">
        <v>102</v>
      </c>
      <c r="O2" t="s">
        <v>104</v>
      </c>
    </row>
    <row r="3" spans="13:15">
      <c r="M3">
        <v>0.1</v>
      </c>
      <c r="N3">
        <f>SL!R35</f>
        <v>83200</v>
      </c>
      <c r="O3">
        <f>'h=20000'!T35</f>
        <v>44313.441310872491</v>
      </c>
    </row>
    <row r="4" spans="13:15">
      <c r="M4">
        <v>1</v>
      </c>
      <c r="N4">
        <f>SL!R35</f>
        <v>83200</v>
      </c>
      <c r="O4">
        <f>'h=20000'!T35</f>
        <v>44313.441310872491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SL</vt:lpstr>
      <vt:lpstr>h=10000</vt:lpstr>
      <vt:lpstr>h=20000</vt:lpstr>
      <vt:lpstr>h=25000</vt:lpstr>
      <vt:lpstr>h=30000</vt:lpstr>
      <vt:lpstr>h=35000</vt:lpstr>
      <vt:lpstr>h=40000</vt:lpstr>
      <vt:lpstr>h=45000</vt:lpstr>
      <vt:lpstr>GRAFICO</vt:lpstr>
    </vt:vector>
  </TitlesOfParts>
  <Company>DIPARTIMENTO DI PROGETTAZIONE AERONAUTICA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</dc:creator>
  <cp:lastModifiedBy>XP</cp:lastModifiedBy>
  <dcterms:created xsi:type="dcterms:W3CDTF">2003-05-15T10:02:34Z</dcterms:created>
  <dcterms:modified xsi:type="dcterms:W3CDTF">2011-11-04T11:41:31Z</dcterms:modified>
</cp:coreProperties>
</file>