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30" windowWidth="11265" windowHeight="8700" tabRatio="610"/>
  </bookViews>
  <sheets>
    <sheet name="Medie" sheetId="2" r:id="rId1"/>
    <sheet name="Grafici" sheetId="5" r:id="rId2"/>
    <sheet name="Pesi e Geometrie" sheetId="7" r:id="rId3"/>
    <sheet name="TO &amp; LD" sheetId="6" r:id="rId4"/>
    <sheet name="Prestazioni" sheetId="8" r:id="rId5"/>
    <sheet name="Aerodinamica" sheetId="9" r:id="rId6"/>
    <sheet name="Motori" sheetId="10" r:id="rId7"/>
    <sheet name="Carpet plot" sheetId="11" r:id="rId8"/>
    <sheet name="Foglio1" sheetId="12" r:id="rId9"/>
  </sheets>
  <calcPr calcId="145621"/>
</workbook>
</file>

<file path=xl/calcChain.xml><?xml version="1.0" encoding="utf-8"?>
<calcChain xmlns="http://schemas.openxmlformats.org/spreadsheetml/2006/main">
  <c r="G5" i="2" l="1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4" i="2"/>
  <c r="N38" i="7" l="1"/>
  <c r="O38" i="7"/>
  <c r="N33" i="7"/>
  <c r="O33" i="7"/>
  <c r="E4" i="9"/>
  <c r="J27" i="6"/>
  <c r="E10" i="9"/>
  <c r="B10" i="9" s="1"/>
  <c r="C10" i="9" s="1"/>
  <c r="G10" i="9" s="1"/>
  <c r="E11" i="9"/>
  <c r="B11" i="9" s="1"/>
  <c r="E9" i="9"/>
  <c r="B9" i="9" s="1"/>
  <c r="C9" i="9" s="1"/>
  <c r="G9" i="9" s="1"/>
  <c r="E7" i="9"/>
  <c r="B7" i="9" s="1"/>
  <c r="C7" i="9" s="1"/>
  <c r="G7" i="9" s="1"/>
  <c r="D16" i="9"/>
  <c r="J4" i="7"/>
  <c r="J5" i="7"/>
  <c r="J11" i="7"/>
  <c r="H9" i="9" l="1"/>
  <c r="C11" i="9"/>
  <c r="G11" i="9" s="1"/>
  <c r="D10" i="9"/>
  <c r="I10" i="9" s="1"/>
  <c r="D9" i="9"/>
  <c r="I9" i="9" s="1"/>
  <c r="D7" i="9"/>
  <c r="I7" i="9" s="1"/>
  <c r="E8" i="9"/>
  <c r="B8" i="9" s="1"/>
  <c r="C8" i="9" s="1"/>
  <c r="G8" i="9" s="1"/>
  <c r="M21" i="6"/>
  <c r="M27" i="6"/>
  <c r="M20" i="6"/>
  <c r="H7" i="9" l="1"/>
  <c r="H10" i="9"/>
  <c r="D11" i="9"/>
  <c r="I11" i="9" s="1"/>
  <c r="D8" i="9"/>
  <c r="I8" i="9" s="1"/>
  <c r="D15" i="7"/>
  <c r="C15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B22" i="7"/>
  <c r="B23" i="7"/>
  <c r="B24" i="7"/>
  <c r="B25" i="7"/>
  <c r="B26" i="7"/>
  <c r="B27" i="7"/>
  <c r="B28" i="7"/>
  <c r="B21" i="7"/>
  <c r="D13" i="7"/>
  <c r="C13" i="7"/>
  <c r="H8" i="9" l="1"/>
  <c r="H11" i="9"/>
  <c r="R22" i="7"/>
  <c r="R23" i="7"/>
  <c r="R24" i="7"/>
  <c r="R25" i="7"/>
  <c r="R26" i="7"/>
  <c r="R27" i="7"/>
  <c r="R28" i="7"/>
  <c r="R21" i="7"/>
  <c r="T22" i="7"/>
  <c r="T23" i="7"/>
  <c r="T24" i="7"/>
  <c r="T25" i="7"/>
  <c r="T26" i="7"/>
  <c r="T27" i="7"/>
  <c r="T28" i="7"/>
  <c r="T21" i="7"/>
  <c r="S22" i="7"/>
  <c r="S23" i="7"/>
  <c r="S24" i="7"/>
  <c r="S25" i="7"/>
  <c r="S26" i="7"/>
  <c r="S27" i="7"/>
  <c r="S28" i="7"/>
  <c r="S21" i="7"/>
  <c r="U4" i="7"/>
  <c r="U5" i="7"/>
  <c r="U11" i="7"/>
  <c r="E21" i="6"/>
  <c r="E27" i="6"/>
  <c r="E20" i="6"/>
  <c r="J10" i="6"/>
  <c r="J21" i="6"/>
  <c r="I21" i="6" s="1"/>
  <c r="I4" i="6" s="1"/>
  <c r="O4" i="6" s="1"/>
  <c r="J20" i="6"/>
  <c r="J3" i="6" s="1"/>
  <c r="N3" i="6" s="1"/>
  <c r="G20" i="6"/>
  <c r="H20" i="6"/>
  <c r="G21" i="6"/>
  <c r="H21" i="6"/>
  <c r="G27" i="6"/>
  <c r="H27" i="6"/>
  <c r="N10" i="6" l="1"/>
  <c r="M6" i="9"/>
  <c r="E12" i="9" s="1"/>
  <c r="B12" i="9" s="1"/>
  <c r="I27" i="6"/>
  <c r="I10" i="6" s="1"/>
  <c r="O10" i="6" s="1"/>
  <c r="J4" i="6"/>
  <c r="N4" i="6" s="1"/>
  <c r="I20" i="6"/>
  <c r="I3" i="6" s="1"/>
  <c r="O3" i="6" s="1"/>
  <c r="C12" i="9" l="1"/>
  <c r="G12" i="9" s="1"/>
  <c r="C30" i="11"/>
  <c r="B30" i="11"/>
  <c r="D12" i="9" l="1"/>
  <c r="I12" i="9" s="1"/>
  <c r="H12" i="9" l="1"/>
  <c r="E27" i="2"/>
  <c r="F11" i="10"/>
  <c r="I11" i="10"/>
  <c r="J11" i="10"/>
  <c r="K11" i="10"/>
  <c r="L11" i="10"/>
  <c r="M11" i="10"/>
  <c r="O11" i="10"/>
  <c r="Q11" i="10"/>
  <c r="C11" i="10"/>
  <c r="AB28" i="7"/>
  <c r="AA28" i="7"/>
  <c r="Z28" i="7"/>
  <c r="Y28" i="7"/>
  <c r="W28" i="7"/>
  <c r="AB27" i="7"/>
  <c r="AA27" i="7"/>
  <c r="Z27" i="7"/>
  <c r="Y27" i="7"/>
  <c r="W27" i="7"/>
  <c r="AB26" i="7"/>
  <c r="AA26" i="7"/>
  <c r="Z26" i="7"/>
  <c r="Y26" i="7"/>
  <c r="W26" i="7"/>
  <c r="AB25" i="7"/>
  <c r="AA25" i="7"/>
  <c r="Z25" i="7"/>
  <c r="Y25" i="7"/>
  <c r="W25" i="7"/>
  <c r="AB24" i="7"/>
  <c r="AA24" i="7"/>
  <c r="Z24" i="7"/>
  <c r="Y24" i="7"/>
  <c r="W24" i="7"/>
  <c r="AB23" i="7"/>
  <c r="AA23" i="7"/>
  <c r="Z23" i="7"/>
  <c r="Y23" i="7"/>
  <c r="W23" i="7"/>
  <c r="AB22" i="7"/>
  <c r="AA22" i="7"/>
  <c r="Z22" i="7"/>
  <c r="Y22" i="7"/>
  <c r="W22" i="7"/>
  <c r="AB21" i="7"/>
  <c r="AA21" i="7"/>
  <c r="Z21" i="7"/>
  <c r="Y21" i="7"/>
  <c r="W21" i="7"/>
  <c r="AB15" i="7"/>
  <c r="AB16" i="7" s="1"/>
  <c r="AA15" i="7"/>
  <c r="AA16" i="7" s="1"/>
  <c r="Z15" i="7"/>
  <c r="Z16" i="7" s="1"/>
  <c r="Y15" i="7"/>
  <c r="Y16" i="7" s="1"/>
  <c r="W15" i="7"/>
  <c r="W16" i="7" s="1"/>
  <c r="AB13" i="7"/>
  <c r="AB14" i="7" s="1"/>
  <c r="AA13" i="7"/>
  <c r="AA14" i="7" s="1"/>
  <c r="Z13" i="7"/>
  <c r="Z14" i="7" s="1"/>
  <c r="Y13" i="7"/>
  <c r="Y14" i="7" s="1"/>
  <c r="W13" i="7"/>
  <c r="W14" i="7" s="1"/>
  <c r="X11" i="7"/>
  <c r="X28" i="7" s="1"/>
  <c r="X27" i="7"/>
  <c r="X26" i="7"/>
  <c r="X25" i="7"/>
  <c r="X24" i="7"/>
  <c r="X23" i="7"/>
  <c r="X5" i="7"/>
  <c r="X22" i="7" s="1"/>
  <c r="X4" i="7"/>
  <c r="X21" i="7" s="1"/>
  <c r="M27" i="7"/>
  <c r="P5" i="10"/>
  <c r="N5" i="10"/>
  <c r="H5" i="10"/>
  <c r="G5" i="10"/>
  <c r="D5" i="10"/>
  <c r="E5" i="10" s="1"/>
  <c r="R4" i="10"/>
  <c r="P4" i="10"/>
  <c r="N4" i="10"/>
  <c r="N11" i="10" s="1"/>
  <c r="H4" i="10"/>
  <c r="G4" i="10"/>
  <c r="G11" i="10" s="1"/>
  <c r="D4" i="10"/>
  <c r="D11" i="10" s="1"/>
  <c r="P11" i="10" l="1"/>
  <c r="R11" i="10"/>
  <c r="H11" i="10"/>
  <c r="E4" i="10"/>
  <c r="E11" i="10" s="1"/>
  <c r="X13" i="7"/>
  <c r="X14" i="7" s="1"/>
  <c r="X15" i="7"/>
  <c r="X16" i="7" s="1"/>
  <c r="AU12" i="11" l="1"/>
  <c r="AV12" i="11"/>
  <c r="AW12" i="11"/>
  <c r="AX12" i="11"/>
  <c r="AY12" i="11"/>
  <c r="AZ12" i="11"/>
  <c r="BA12" i="11"/>
  <c r="AT12" i="11"/>
  <c r="AN12" i="11"/>
  <c r="AO12" i="11"/>
  <c r="AP12" i="11"/>
  <c r="AQ12" i="11"/>
  <c r="AM12" i="11"/>
  <c r="AE12" i="11"/>
  <c r="AF12" i="11"/>
  <c r="AG12" i="11"/>
  <c r="AH12" i="11"/>
  <c r="AI12" i="11"/>
  <c r="AD12" i="11"/>
  <c r="AB12" i="11"/>
  <c r="AC12" i="11"/>
  <c r="AA12" i="11"/>
  <c r="Z12" i="11"/>
  <c r="T12" i="11"/>
  <c r="U12" i="11"/>
  <c r="V12" i="11"/>
  <c r="W12" i="11"/>
  <c r="R12" i="11"/>
  <c r="S12" i="11"/>
  <c r="Q12" i="11"/>
  <c r="O12" i="11"/>
  <c r="P12" i="11"/>
  <c r="N12" i="11"/>
  <c r="M12" i="11"/>
  <c r="I41" i="2"/>
  <c r="F15" i="7" l="1"/>
  <c r="F16" i="7" s="1"/>
  <c r="H15" i="7"/>
  <c r="H16" i="7" s="1"/>
  <c r="I15" i="7"/>
  <c r="I16" i="7" s="1"/>
  <c r="O15" i="7"/>
  <c r="O16" i="7" s="1"/>
  <c r="P15" i="7"/>
  <c r="P16" i="7" s="1"/>
  <c r="Q15" i="7"/>
  <c r="V15" i="7"/>
  <c r="V16" i="7" s="1"/>
  <c r="AC15" i="7"/>
  <c r="AC16" i="7" s="1"/>
  <c r="AD15" i="7"/>
  <c r="AD16" i="7" s="1"/>
  <c r="B15" i="7"/>
  <c r="E15" i="7"/>
  <c r="E16" i="7" s="1"/>
  <c r="AD22" i="7" l="1"/>
  <c r="AD23" i="7"/>
  <c r="AD24" i="7"/>
  <c r="AD25" i="7"/>
  <c r="AD26" i="7"/>
  <c r="AD27" i="7"/>
  <c r="AD28" i="7"/>
  <c r="AD21" i="7"/>
  <c r="AC22" i="7"/>
  <c r="AC23" i="7"/>
  <c r="AC24" i="7"/>
  <c r="AC25" i="7"/>
  <c r="AC26" i="7"/>
  <c r="AC27" i="7"/>
  <c r="AC28" i="7"/>
  <c r="AC21" i="7"/>
  <c r="P22" i="7"/>
  <c r="P23" i="7"/>
  <c r="P24" i="7"/>
  <c r="P25" i="7"/>
  <c r="P26" i="7"/>
  <c r="P27" i="7"/>
  <c r="P28" i="7"/>
  <c r="P21" i="7"/>
  <c r="V22" i="7"/>
  <c r="V23" i="7"/>
  <c r="V24" i="7"/>
  <c r="V25" i="7"/>
  <c r="V26" i="7"/>
  <c r="V27" i="7"/>
  <c r="V28" i="7"/>
  <c r="V21" i="7"/>
  <c r="I13" i="7" l="1"/>
  <c r="I14" i="7" s="1"/>
  <c r="G4" i="8"/>
  <c r="G10" i="8"/>
  <c r="G3" i="8"/>
  <c r="I22" i="7"/>
  <c r="G21" i="8" s="1"/>
  <c r="I23" i="7"/>
  <c r="I24" i="7"/>
  <c r="I25" i="7"/>
  <c r="I26" i="7"/>
  <c r="I27" i="7"/>
  <c r="I28" i="7"/>
  <c r="G27" i="8" s="1"/>
  <c r="I21" i="7"/>
  <c r="G20" i="8" s="1"/>
  <c r="G13" i="8" l="1"/>
  <c r="G12" i="8"/>
  <c r="J62" i="2" l="1"/>
  <c r="K62" i="2"/>
  <c r="I62" i="2"/>
  <c r="F62" i="2"/>
  <c r="D62" i="2"/>
  <c r="F46" i="2"/>
  <c r="H37" i="2"/>
  <c r="E38" i="2"/>
  <c r="E39" i="2"/>
  <c r="E40" i="2"/>
  <c r="E43" i="2"/>
  <c r="E42" i="2"/>
  <c r="E41" i="2"/>
  <c r="E44" i="2"/>
  <c r="E37" i="2"/>
  <c r="H21" i="2"/>
  <c r="C38" i="2"/>
  <c r="C39" i="2"/>
  <c r="C40" i="2"/>
  <c r="C43" i="2"/>
  <c r="C42" i="2"/>
  <c r="C41" i="2"/>
  <c r="C44" i="2"/>
  <c r="C37" i="2"/>
  <c r="L21" i="2"/>
  <c r="L22" i="2"/>
  <c r="L23" i="2"/>
  <c r="L24" i="2"/>
  <c r="L27" i="2"/>
  <c r="L26" i="2"/>
  <c r="L25" i="2"/>
  <c r="L28" i="2"/>
  <c r="J28" i="2"/>
  <c r="J22" i="2"/>
  <c r="J23" i="2"/>
  <c r="J24" i="2"/>
  <c r="J27" i="2"/>
  <c r="J26" i="2"/>
  <c r="J25" i="2"/>
  <c r="J21" i="2"/>
  <c r="H22" i="2"/>
  <c r="H23" i="2"/>
  <c r="H24" i="2"/>
  <c r="H27" i="2"/>
  <c r="H26" i="2"/>
  <c r="H25" i="2"/>
  <c r="H28" i="2"/>
  <c r="E23" i="2"/>
  <c r="E22" i="2"/>
  <c r="E24" i="2"/>
  <c r="E26" i="2"/>
  <c r="E25" i="2"/>
  <c r="E28" i="2"/>
  <c r="E21" i="2"/>
  <c r="L46" i="2"/>
  <c r="L47" i="2"/>
  <c r="O21" i="6" l="1"/>
  <c r="O27" i="6"/>
  <c r="O20" i="6"/>
  <c r="N21" i="6"/>
  <c r="N27" i="6"/>
  <c r="N20" i="6"/>
  <c r="N12" i="6"/>
  <c r="O12" i="6"/>
  <c r="I12" i="6"/>
  <c r="N11" i="7"/>
  <c r="N28" i="7" s="1"/>
  <c r="L5" i="7"/>
  <c r="L22" i="7" s="1"/>
  <c r="L23" i="7"/>
  <c r="L25" i="7"/>
  <c r="L26" i="7"/>
  <c r="L11" i="7"/>
  <c r="L28" i="7" s="1"/>
  <c r="L4" i="7"/>
  <c r="L21" i="7" s="1"/>
  <c r="J22" i="7"/>
  <c r="J23" i="7"/>
  <c r="J25" i="7"/>
  <c r="J26" i="7"/>
  <c r="J28" i="7"/>
  <c r="J21" i="7"/>
  <c r="N5" i="7"/>
  <c r="N22" i="7" s="1"/>
  <c r="N23" i="7"/>
  <c r="N24" i="7"/>
  <c r="N25" i="7"/>
  <c r="N26" i="7"/>
  <c r="N27" i="7"/>
  <c r="N4" i="7"/>
  <c r="N21" i="7" s="1"/>
  <c r="J24" i="7" l="1"/>
  <c r="J15" i="7"/>
  <c r="J16" i="7" s="1"/>
  <c r="L24" i="7"/>
  <c r="L15" i="7"/>
  <c r="L16" i="7" s="1"/>
  <c r="N29" i="6"/>
  <c r="O29" i="6"/>
  <c r="J13" i="7"/>
  <c r="J14" i="7" s="1"/>
  <c r="J27" i="7"/>
  <c r="L27" i="7"/>
  <c r="L13" i="7"/>
  <c r="L14" i="7" s="1"/>
  <c r="D12" i="8"/>
  <c r="D13" i="8" s="1"/>
  <c r="E21" i="8"/>
  <c r="E27" i="8"/>
  <c r="E20" i="8"/>
  <c r="F4" i="8"/>
  <c r="F10" i="8"/>
  <c r="F3" i="8"/>
  <c r="E4" i="8"/>
  <c r="E10" i="8"/>
  <c r="E3" i="8"/>
  <c r="D27" i="8"/>
  <c r="D21" i="8"/>
  <c r="D20" i="8"/>
  <c r="I12" i="8"/>
  <c r="I13" i="8" s="1"/>
  <c r="H12" i="8"/>
  <c r="B12" i="8"/>
  <c r="B13" i="8" s="1"/>
  <c r="H28" i="7"/>
  <c r="F28" i="7"/>
  <c r="E28" i="7"/>
  <c r="F27" i="8" s="1"/>
  <c r="H27" i="7"/>
  <c r="F27" i="7"/>
  <c r="E27" i="7"/>
  <c r="H26" i="7"/>
  <c r="F26" i="7"/>
  <c r="E26" i="7"/>
  <c r="H25" i="7"/>
  <c r="F25" i="7"/>
  <c r="E25" i="7"/>
  <c r="H24" i="7"/>
  <c r="F24" i="7"/>
  <c r="E24" i="7"/>
  <c r="H23" i="7"/>
  <c r="F23" i="7"/>
  <c r="E23" i="7"/>
  <c r="H22" i="7"/>
  <c r="F22" i="7"/>
  <c r="E22" i="7"/>
  <c r="H21" i="7"/>
  <c r="F21" i="7"/>
  <c r="E21" i="7"/>
  <c r="AD13" i="7"/>
  <c r="AD14" i="7" s="1"/>
  <c r="AC13" i="7"/>
  <c r="AC14" i="7" s="1"/>
  <c r="V13" i="7"/>
  <c r="V14" i="7" s="1"/>
  <c r="Q13" i="7"/>
  <c r="P13" i="7"/>
  <c r="P14" i="7" s="1"/>
  <c r="O13" i="7"/>
  <c r="O14" i="7" s="1"/>
  <c r="H13" i="7"/>
  <c r="H14" i="7" s="1"/>
  <c r="F13" i="7"/>
  <c r="F14" i="7" s="1"/>
  <c r="E13" i="7"/>
  <c r="E14" i="7" s="1"/>
  <c r="B13" i="7"/>
  <c r="G11" i="7"/>
  <c r="G27" i="7"/>
  <c r="G5" i="7"/>
  <c r="G4" i="7"/>
  <c r="M4" i="7" s="1"/>
  <c r="L4" i="6"/>
  <c r="L10" i="6"/>
  <c r="L27" i="6" s="1"/>
  <c r="L3" i="6"/>
  <c r="L20" i="6" s="1"/>
  <c r="K4" i="6"/>
  <c r="K21" i="6" s="1"/>
  <c r="K10" i="6"/>
  <c r="K27" i="6" s="1"/>
  <c r="K3" i="6"/>
  <c r="K20" i="6" s="1"/>
  <c r="L21" i="6"/>
  <c r="F12" i="6"/>
  <c r="F13" i="6" s="1"/>
  <c r="B12" i="6"/>
  <c r="B13" i="6" s="1"/>
  <c r="E60" i="2"/>
  <c r="H44" i="2"/>
  <c r="J11" i="2"/>
  <c r="F11" i="2"/>
  <c r="D11" i="2"/>
  <c r="K44" i="2" s="1"/>
  <c r="J44" i="2"/>
  <c r="I44" i="2"/>
  <c r="F53" i="7" l="1"/>
  <c r="F37" i="7"/>
  <c r="F20" i="8"/>
  <c r="E48" i="7"/>
  <c r="E31" i="7"/>
  <c r="E33" i="7"/>
  <c r="E51" i="7"/>
  <c r="E35" i="7"/>
  <c r="E53" i="7"/>
  <c r="E37" i="7"/>
  <c r="F21" i="8"/>
  <c r="E49" i="7"/>
  <c r="E32" i="7"/>
  <c r="E50" i="7"/>
  <c r="E34" i="7"/>
  <c r="E52" i="7"/>
  <c r="E36" i="7"/>
  <c r="D20" i="6"/>
  <c r="D3" i="6" s="1"/>
  <c r="C3" i="6" s="1"/>
  <c r="C20" i="6" s="1"/>
  <c r="D21" i="6"/>
  <c r="D4" i="6" s="1"/>
  <c r="C4" i="6" s="1"/>
  <c r="C21" i="6" s="1"/>
  <c r="D27" i="6"/>
  <c r="D10" i="6" s="1"/>
  <c r="C10" i="6" s="1"/>
  <c r="C27" i="6" s="1"/>
  <c r="G24" i="7"/>
  <c r="G15" i="7"/>
  <c r="G16" i="7" s="1"/>
  <c r="G22" i="7"/>
  <c r="M5" i="7"/>
  <c r="M22" i="7" s="1"/>
  <c r="G26" i="7"/>
  <c r="M26" i="7"/>
  <c r="E12" i="8"/>
  <c r="G23" i="7"/>
  <c r="F33" i="7" s="1"/>
  <c r="M23" i="7"/>
  <c r="G28" i="7"/>
  <c r="M11" i="7"/>
  <c r="M28" i="7" s="1"/>
  <c r="M21" i="7"/>
  <c r="G25" i="7"/>
  <c r="M25" i="7"/>
  <c r="I13" i="6"/>
  <c r="F12" i="8"/>
  <c r="L12" i="6"/>
  <c r="L13" i="6"/>
  <c r="J12" i="6"/>
  <c r="K13" i="6"/>
  <c r="K12" i="6"/>
  <c r="G13" i="7"/>
  <c r="G14" i="7" s="1"/>
  <c r="G21" i="7"/>
  <c r="E59" i="2"/>
  <c r="E58" i="2"/>
  <c r="E53" i="2"/>
  <c r="E54" i="2"/>
  <c r="E55" i="2"/>
  <c r="E56" i="2"/>
  <c r="E57" i="2"/>
  <c r="F13" i="8" l="1"/>
  <c r="F34" i="7"/>
  <c r="F50" i="7"/>
  <c r="F31" i="7"/>
  <c r="F48" i="7"/>
  <c r="F51" i="7"/>
  <c r="F35" i="7"/>
  <c r="F36" i="7"/>
  <c r="F52" i="7"/>
  <c r="F49" i="7"/>
  <c r="F32" i="7"/>
  <c r="D12" i="6"/>
  <c r="M13" i="7"/>
  <c r="M24" i="7"/>
  <c r="M15" i="7"/>
  <c r="J13" i="6"/>
  <c r="E62" i="2"/>
  <c r="H38" i="2"/>
  <c r="H39" i="2"/>
  <c r="H40" i="2"/>
  <c r="H41" i="2"/>
  <c r="H43" i="2"/>
  <c r="H42" i="2"/>
  <c r="J38" i="2"/>
  <c r="J39" i="2"/>
  <c r="J40" i="2"/>
  <c r="J41" i="2"/>
  <c r="J43" i="2"/>
  <c r="J42" i="2"/>
  <c r="J37" i="2"/>
  <c r="I38" i="2"/>
  <c r="I39" i="2"/>
  <c r="I40" i="2"/>
  <c r="I43" i="2"/>
  <c r="I42" i="2"/>
  <c r="I37" i="2"/>
  <c r="E13" i="2"/>
  <c r="I46" i="2" l="1"/>
  <c r="J5" i="2"/>
  <c r="J6" i="2"/>
  <c r="J7" i="2"/>
  <c r="J8" i="2"/>
  <c r="J10" i="2"/>
  <c r="J9" i="2"/>
  <c r="J4" i="2"/>
  <c r="D5" i="2"/>
  <c r="K38" i="2" s="1"/>
  <c r="D6" i="2"/>
  <c r="K39" i="2" s="1"/>
  <c r="D7" i="2"/>
  <c r="K40" i="2" s="1"/>
  <c r="D8" i="2"/>
  <c r="D10" i="2"/>
  <c r="D9" i="2"/>
  <c r="K42" i="2" s="1"/>
  <c r="D4" i="2"/>
  <c r="K37" i="2" s="1"/>
  <c r="F5" i="2"/>
  <c r="F6" i="2"/>
  <c r="F7" i="2"/>
  <c r="F8" i="2"/>
  <c r="F10" i="2"/>
  <c r="F9" i="2"/>
  <c r="F4" i="2"/>
  <c r="K41" i="2" l="1"/>
  <c r="K46" i="2" s="1"/>
  <c r="K43" i="2"/>
  <c r="H4" i="2"/>
  <c r="G13" i="2"/>
  <c r="H13" i="2" s="1"/>
  <c r="G46" i="2"/>
  <c r="H46" i="2" s="1"/>
  <c r="B46" i="2"/>
  <c r="C46" i="2" s="1"/>
  <c r="D46" i="2"/>
  <c r="E46" i="2" s="1"/>
  <c r="B62" i="2"/>
  <c r="C62" i="2" s="1"/>
  <c r="G62" i="2"/>
  <c r="H62" i="2" s="1"/>
  <c r="I30" i="2"/>
  <c r="J30" i="2" s="1"/>
  <c r="K30" i="2"/>
  <c r="L30" i="2" s="1"/>
  <c r="F13" i="2"/>
  <c r="I13" i="2"/>
  <c r="J13" i="2" s="1"/>
  <c r="B30" i="2" l="1"/>
  <c r="C30" i="2" s="1"/>
  <c r="D30" i="2"/>
  <c r="E30" i="2" s="1"/>
  <c r="F30" i="2"/>
  <c r="G30" i="2"/>
  <c r="H30" i="2" s="1"/>
  <c r="B13" i="2"/>
  <c r="C13" i="2"/>
  <c r="D13" i="2" l="1"/>
  <c r="J46" i="2"/>
</calcChain>
</file>

<file path=xl/sharedStrings.xml><?xml version="1.0" encoding="utf-8"?>
<sst xmlns="http://schemas.openxmlformats.org/spreadsheetml/2006/main" count="545" uniqueCount="206">
  <si>
    <t>Velivolo</t>
  </si>
  <si>
    <t>Ilyushin IL-96-400</t>
  </si>
  <si>
    <t>Boeing 777-300ER</t>
  </si>
  <si>
    <t>Numero max passeggeri</t>
  </si>
  <si>
    <t>Parametri geometrici</t>
  </si>
  <si>
    <t>AR</t>
  </si>
  <si>
    <t>Operative range</t>
  </si>
  <si>
    <t>Airbus A380</t>
  </si>
  <si>
    <t>Max Thrust (kN)</t>
  </si>
  <si>
    <t>MD-11ER</t>
  </si>
  <si>
    <t>Airbus A330-300</t>
  </si>
  <si>
    <t>Boeing 747-400</t>
  </si>
  <si>
    <t>7,67</t>
  </si>
  <si>
    <t>Max take-off weight</t>
  </si>
  <si>
    <t>Airbus A340-600</t>
  </si>
  <si>
    <t>9,3</t>
  </si>
  <si>
    <t>0,83</t>
  </si>
  <si>
    <t>OEW</t>
  </si>
  <si>
    <t>ZFW</t>
  </si>
  <si>
    <t>S</t>
  </si>
  <si>
    <t>b</t>
  </si>
  <si>
    <t>Sh</t>
  </si>
  <si>
    <t>Sv</t>
  </si>
  <si>
    <t>Quota di crociera</t>
  </si>
  <si>
    <t>velivolo assegnato</t>
  </si>
  <si>
    <t>specifiche assegnate</t>
  </si>
  <si>
    <t>medie SI</t>
  </si>
  <si>
    <t>medie AN</t>
  </si>
  <si>
    <t>International System</t>
  </si>
  <si>
    <t>Imperial System</t>
  </si>
  <si>
    <t>Weights</t>
  </si>
  <si>
    <t>Performances</t>
  </si>
  <si>
    <t xml:space="preserve">Max take-off weight </t>
  </si>
  <si>
    <t>Weights (Kg)</t>
  </si>
  <si>
    <t>S (m^2)</t>
  </si>
  <si>
    <t>b (m)</t>
  </si>
  <si>
    <t>Sh (m^2)</t>
  </si>
  <si>
    <t>Sv (m^2)</t>
  </si>
  <si>
    <t>M cruise</t>
  </si>
  <si>
    <t>T-O field length</t>
  </si>
  <si>
    <t>L field length</t>
  </si>
  <si>
    <t>Length overall</t>
  </si>
  <si>
    <t>BEW</t>
  </si>
  <si>
    <t>T/W</t>
  </si>
  <si>
    <t>Numero motori</t>
  </si>
  <si>
    <t>CL TO</t>
  </si>
  <si>
    <t>CL LD</t>
  </si>
  <si>
    <t>Max Thrust (lb)</t>
  </si>
  <si>
    <t>V TO (m/s)</t>
  </si>
  <si>
    <t>V TO (kts)</t>
  </si>
  <si>
    <t>Decollo</t>
  </si>
  <si>
    <t>Atterraggio</t>
  </si>
  <si>
    <t>Boeing 777-300ER Mod</t>
  </si>
  <si>
    <t>Vs (m/s)</t>
  </si>
  <si>
    <t>Va (m/s)</t>
  </si>
  <si>
    <t>Vf (m/s)</t>
  </si>
  <si>
    <t>Vtd (m/s)</t>
  </si>
  <si>
    <t>Vs (kts)</t>
  </si>
  <si>
    <t>Va (kts)</t>
  </si>
  <si>
    <t>Vf (kts)</t>
  </si>
  <si>
    <t>Vtd (kts)</t>
  </si>
  <si>
    <t>T LD/T0</t>
  </si>
  <si>
    <t>Theta a (°)</t>
  </si>
  <si>
    <t>CL MAX</t>
  </si>
  <si>
    <t>MTOW</t>
  </si>
  <si>
    <t>* = CL @0.7MTOW</t>
  </si>
  <si>
    <t>CL LD*</t>
  </si>
  <si>
    <t>MAX FUEL</t>
  </si>
  <si>
    <t>MAX PAYLOAD</t>
  </si>
  <si>
    <t>Boeing 777-300ER(2 classi)</t>
  </si>
  <si>
    <t>Calcolate</t>
  </si>
  <si>
    <t xml:space="preserve">Max Thrust </t>
  </si>
  <si>
    <t>W/S</t>
  </si>
  <si>
    <t>V TO</t>
  </si>
  <si>
    <t>Max Thrust</t>
  </si>
  <si>
    <t>Take-Off</t>
  </si>
  <si>
    <t>Landing</t>
  </si>
  <si>
    <t>Medie</t>
  </si>
  <si>
    <t>Motore</t>
  </si>
  <si>
    <t>Dry weight</t>
  </si>
  <si>
    <t>T/W ratio</t>
  </si>
  <si>
    <t>BR</t>
  </si>
  <si>
    <t>Lenght</t>
  </si>
  <si>
    <t>Fan diameter</t>
  </si>
  <si>
    <t>Max diameter</t>
  </si>
  <si>
    <t>GE CF6-80E1 A3</t>
  </si>
  <si>
    <t>0.332 - 0.345</t>
  </si>
  <si>
    <t>Aviadvigatel PS-90</t>
  </si>
  <si>
    <t>RR Trent 500</t>
  </si>
  <si>
    <t>RR Trent 900</t>
  </si>
  <si>
    <t>GE CF6-80C2</t>
  </si>
  <si>
    <t>MLW</t>
  </si>
  <si>
    <t>CF6-80C2D1F</t>
  </si>
  <si>
    <t>W/S @MLW</t>
  </si>
  <si>
    <t>W/S @MTOW</t>
  </si>
  <si>
    <t>Weights (lb)</t>
  </si>
  <si>
    <t>ZFW/MTOW</t>
  </si>
  <si>
    <t>Senza A380</t>
  </si>
  <si>
    <t>[Kg]</t>
  </si>
  <si>
    <t>[lb]</t>
  </si>
  <si>
    <t>Operative Empty Weight</t>
  </si>
  <si>
    <t>Basic Empty Weight</t>
  </si>
  <si>
    <t>Zero Fuel Weight</t>
  </si>
  <si>
    <t>m^2</t>
  </si>
  <si>
    <t>ft^2</t>
  </si>
  <si>
    <t>m</t>
  </si>
  <si>
    <t>ft</t>
  </si>
  <si>
    <t>[m]</t>
  </si>
  <si>
    <t>[ft]</t>
  </si>
  <si>
    <t>[lb/ft^2]</t>
  </si>
  <si>
    <t>V stall</t>
  </si>
  <si>
    <t>V approach</t>
  </si>
  <si>
    <t>Take-off</t>
  </si>
  <si>
    <t>Take-off field lenght</t>
  </si>
  <si>
    <t>[m/s]</t>
  </si>
  <si>
    <t>[kts]</t>
  </si>
  <si>
    <t>Vs</t>
  </si>
  <si>
    <t>Va</t>
  </si>
  <si>
    <t>Landing field lenght</t>
  </si>
  <si>
    <t>CL Max</t>
  </si>
  <si>
    <t>[nmi]</t>
  </si>
  <si>
    <t>n. Passengers</t>
  </si>
  <si>
    <t>Cruise altitude</t>
  </si>
  <si>
    <t>n. Engines</t>
  </si>
  <si>
    <t>Aircraft</t>
  </si>
  <si>
    <t>[kg]</t>
  </si>
  <si>
    <t>[km]</t>
  </si>
  <si>
    <t>[kg/m^2]</t>
  </si>
  <si>
    <t>[kN]</t>
  </si>
  <si>
    <t>SFC @SL</t>
  </si>
  <si>
    <t>SFC @cruise altitude</t>
  </si>
  <si>
    <t>OPR</t>
  </si>
  <si>
    <t>[in]</t>
  </si>
  <si>
    <t>GE 90-115B</t>
  </si>
  <si>
    <t>BEW/MTOW</t>
  </si>
  <si>
    <t>Fuselage width</t>
  </si>
  <si>
    <t>Snellezza</t>
  </si>
  <si>
    <t>Cabin width</t>
  </si>
  <si>
    <t>Fuselage height</t>
  </si>
  <si>
    <t>Cabin length</t>
  </si>
  <si>
    <t>Tail height</t>
  </si>
  <si>
    <t>Engines performaces</t>
  </si>
  <si>
    <t>N.A.</t>
  </si>
  <si>
    <t>Boeing 777-300ER (2 classes)</t>
  </si>
  <si>
    <t>N.A</t>
  </si>
  <si>
    <t>Geometric parameters</t>
  </si>
  <si>
    <t>Average values</t>
  </si>
  <si>
    <t>Average values without A380</t>
  </si>
  <si>
    <t>%MTOW</t>
  </si>
  <si>
    <t>TOP25</t>
  </si>
  <si>
    <t>Sweep c/4 (°)</t>
  </si>
  <si>
    <t>C root</t>
  </si>
  <si>
    <t>C tip</t>
  </si>
  <si>
    <t>λ</t>
  </si>
  <si>
    <t>Wing</t>
  </si>
  <si>
    <t>Fuselage</t>
  </si>
  <si>
    <t>Tail</t>
  </si>
  <si>
    <t>Passengers</t>
  </si>
  <si>
    <t>MAX</t>
  </si>
  <si>
    <t>Typical 2-class</t>
  </si>
  <si>
    <t>Typical 3-class</t>
  </si>
  <si>
    <t>MAX FUEL [L]</t>
  </si>
  <si>
    <t>MAX FUEL [US GAL]</t>
  </si>
  <si>
    <t>freccia</t>
  </si>
  <si>
    <t>e</t>
  </si>
  <si>
    <t>Salita</t>
  </si>
  <si>
    <t>Cl</t>
  </si>
  <si>
    <t>Cd</t>
  </si>
  <si>
    <t>E</t>
  </si>
  <si>
    <t>T/W (TO)</t>
  </si>
  <si>
    <t>CGR</t>
  </si>
  <si>
    <t>V</t>
  </si>
  <si>
    <r>
      <rPr>
        <u/>
        <sz val="12"/>
        <color theme="1"/>
        <rFont val="Calibri"/>
        <family val="2"/>
        <charset val="238"/>
        <scheme val="minor"/>
      </rPr>
      <t>FAR25.111</t>
    </r>
    <r>
      <rPr>
        <sz val="12"/>
        <color theme="1"/>
        <rFont val="Calibri"/>
        <family val="2"/>
        <charset val="238"/>
        <scheme val="minor"/>
      </rPr>
      <t xml:space="preserve"> - Tratto iniziale di salita</t>
    </r>
  </si>
  <si>
    <r>
      <rPr>
        <u/>
        <sz val="12"/>
        <color theme="1"/>
        <rFont val="Calibri"/>
        <family val="2"/>
        <charset val="238"/>
        <scheme val="minor"/>
      </rPr>
      <t>FAR25.121 (a)</t>
    </r>
    <r>
      <rPr>
        <sz val="12"/>
        <color theme="1"/>
        <rFont val="Calibri"/>
        <family val="2"/>
        <charset val="238"/>
        <scheme val="minor"/>
      </rPr>
      <t xml:space="preserve"> – Transizione di salita</t>
    </r>
  </si>
  <si>
    <r>
      <rPr>
        <u/>
        <sz val="12"/>
        <color theme="1"/>
        <rFont val="Calibri"/>
        <family val="2"/>
        <charset val="238"/>
        <scheme val="minor"/>
      </rPr>
      <t>FAR25.121(b)</t>
    </r>
    <r>
      <rPr>
        <sz val="12"/>
        <color theme="1"/>
        <rFont val="Calibri"/>
        <family val="2"/>
        <charset val="238"/>
        <scheme val="minor"/>
      </rPr>
      <t xml:space="preserve"> – Secondo tratto di salita</t>
    </r>
  </si>
  <si>
    <r>
      <rPr>
        <u/>
        <sz val="12"/>
        <color theme="1"/>
        <rFont val="Calibri"/>
        <family val="2"/>
        <charset val="238"/>
        <scheme val="minor"/>
      </rPr>
      <t xml:space="preserve">FAR25.121(d) </t>
    </r>
    <r>
      <rPr>
        <sz val="12"/>
        <color theme="1"/>
        <rFont val="Calibri"/>
        <family val="2"/>
        <charset val="238"/>
        <scheme val="minor"/>
      </rPr>
      <t>– Atterraggio mancato OEI</t>
    </r>
  </si>
  <si>
    <r>
      <rPr>
        <u/>
        <sz val="12"/>
        <color theme="1"/>
        <rFont val="Calibri"/>
        <family val="2"/>
        <charset val="238"/>
        <scheme val="minor"/>
      </rPr>
      <t xml:space="preserve">FAR25.119 </t>
    </r>
    <r>
      <rPr>
        <sz val="12"/>
        <color theme="1"/>
        <rFont val="Calibri"/>
        <family val="2"/>
        <charset val="238"/>
        <scheme val="minor"/>
      </rPr>
      <t>– Atterraggio mancato AEO</t>
    </r>
  </si>
  <si>
    <r>
      <rPr>
        <u/>
        <sz val="12"/>
        <color theme="1"/>
        <rFont val="Calibri"/>
        <family val="2"/>
        <charset val="238"/>
        <scheme val="minor"/>
      </rPr>
      <t>FAR25.121(c)</t>
    </r>
    <r>
      <rPr>
        <sz val="12"/>
        <color theme="1"/>
        <rFont val="Calibri"/>
        <family val="2"/>
        <charset val="238"/>
        <scheme val="minor"/>
      </rPr>
      <t xml:space="preserve"> – Salita in rotta</t>
    </r>
  </si>
  <si>
    <t>rho</t>
  </si>
  <si>
    <t>g</t>
  </si>
  <si>
    <t>W MTOW</t>
  </si>
  <si>
    <t>W MLW</t>
  </si>
  <si>
    <t>CD0</t>
  </si>
  <si>
    <t>CD0 FTO</t>
  </si>
  <si>
    <t>CD0 GEAR</t>
  </si>
  <si>
    <t>CD0 FL</t>
  </si>
  <si>
    <t>CD0 OEI</t>
  </si>
  <si>
    <t>e T0</t>
  </si>
  <si>
    <t>e L</t>
  </si>
  <si>
    <t>T TO</t>
  </si>
  <si>
    <t>CGR req</t>
  </si>
  <si>
    <t>T TO/2</t>
  </si>
  <si>
    <t>e TL</t>
  </si>
  <si>
    <t>Wcond/WTO</t>
  </si>
  <si>
    <t>TTO/Tcond</t>
  </si>
  <si>
    <t>T/W req</t>
  </si>
  <si>
    <t>NO A380</t>
  </si>
  <si>
    <t>ALL</t>
  </si>
  <si>
    <t>x1</t>
  </si>
  <si>
    <t>x2</t>
  </si>
  <si>
    <t>y1</t>
  </si>
  <si>
    <t>y2</t>
  </si>
  <si>
    <t>w/ A380</t>
  </si>
  <si>
    <t>mancanti o approssimate</t>
  </si>
  <si>
    <t>MLW (Kg)</t>
  </si>
  <si>
    <t>MAX LAND WEIGHT MLW (lb)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</si>
</sst>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#,##0.00\ \K\g"/>
    <numFmt numFmtId="165" formatCode="#,##0.00\ \l\b"/>
    <numFmt numFmtId="166" formatCode="#,##0.00\ \m\^\2"/>
    <numFmt numFmtId="167" formatCode="#,##0.00\ \m"/>
    <numFmt numFmtId="168" formatCode="#,##0.00\ \K\m"/>
    <numFmt numFmtId="169" formatCode="#,##0.00\ \K\N"/>
    <numFmt numFmtId="170" formatCode="#,##0.00\ \f\t\^\2"/>
    <numFmt numFmtId="171" formatCode="#,##0.00\ \f\t"/>
    <numFmt numFmtId="172" formatCode="#,##0.00\ \n\m\i"/>
    <numFmt numFmtId="173" formatCode="#,##0.00\ \m\/\s"/>
    <numFmt numFmtId="174" formatCode="#,##0.00\ \k\t\s"/>
    <numFmt numFmtId="175" formatCode="#,##0.00\ \K\g\/\m\^\2"/>
    <numFmt numFmtId="176" formatCode="#,##0.00\ \l\b\/\f\t\^\2"/>
    <numFmt numFmtId="177" formatCode="#\ \f\t"/>
    <numFmt numFmtId="178" formatCode="#\ \n\M\i"/>
    <numFmt numFmtId="179" formatCode="#,###\ \m"/>
    <numFmt numFmtId="180" formatCode="#,##0\ \K\g"/>
    <numFmt numFmtId="181" formatCode="0.000"/>
    <numFmt numFmtId="182" formatCode="#,##0\ \l\b"/>
    <numFmt numFmtId="183" formatCode="#,##0.00\ \i\n"/>
    <numFmt numFmtId="184" formatCode="#,##0.00\ \k\N"/>
    <numFmt numFmtId="185" formatCode="#,##0\ \n\m"/>
    <numFmt numFmtId="186" formatCode="#,##0\ \K\m"/>
    <numFmt numFmtId="187" formatCode="#,##0\ \f\t"/>
    <numFmt numFmtId="188" formatCode="#,##0\ \m"/>
    <numFmt numFmtId="189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1FF46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0">
    <xf numFmtId="0" fontId="0" fillId="0" borderId="0" xfId="0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5" xfId="0" applyBorder="1"/>
    <xf numFmtId="2" fontId="0" fillId="0" borderId="7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4" fontId="0" fillId="0" borderId="9" xfId="0" applyNumberForma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4" fontId="0" fillId="0" borderId="14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22" xfId="0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2" borderId="34" xfId="0" applyNumberFormat="1" applyFill="1" applyBorder="1" applyAlignment="1">
      <alignment horizontal="center"/>
    </xf>
    <xf numFmtId="2" fontId="0" fillId="0" borderId="35" xfId="0" applyNumberFormat="1" applyFill="1" applyBorder="1" applyAlignment="1">
      <alignment horizontal="center"/>
    </xf>
    <xf numFmtId="1" fontId="0" fillId="0" borderId="0" xfId="0" applyNumberFormat="1"/>
    <xf numFmtId="2" fontId="0" fillId="0" borderId="36" xfId="0" applyNumberFormat="1" applyFill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39" xfId="0" applyNumberFormat="1" applyFill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2" fontId="0" fillId="0" borderId="0" xfId="0" applyNumberFormat="1"/>
    <xf numFmtId="2" fontId="0" fillId="0" borderId="43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4" fontId="0" fillId="0" borderId="46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center"/>
    </xf>
    <xf numFmtId="1" fontId="2" fillId="0" borderId="2" xfId="0" applyNumberFormat="1" applyFont="1" applyBorder="1" applyAlignment="1">
      <alignment horizontal="right"/>
    </xf>
    <xf numFmtId="4" fontId="0" fillId="4" borderId="14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4" fontId="0" fillId="5" borderId="7" xfId="0" applyNumberFormat="1" applyFill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2" fillId="0" borderId="5" xfId="0" applyNumberFormat="1" applyFont="1" applyBorder="1" applyAlignment="1">
      <alignment horizontal="right"/>
    </xf>
    <xf numFmtId="0" fontId="0" fillId="0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2" fontId="0" fillId="5" borderId="36" xfId="0" applyNumberFormat="1" applyFill="1" applyBorder="1" applyAlignment="1">
      <alignment horizontal="center"/>
    </xf>
    <xf numFmtId="2" fontId="0" fillId="4" borderId="37" xfId="0" applyNumberForma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1" fontId="0" fillId="0" borderId="18" xfId="0" applyNumberFormat="1" applyFill="1" applyBorder="1" applyAlignment="1">
      <alignment horizontal="center"/>
    </xf>
    <xf numFmtId="2" fontId="0" fillId="0" borderId="49" xfId="0" applyNumberFormat="1" applyFill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1" fontId="0" fillId="0" borderId="44" xfId="0" applyNumberFormat="1" applyFill="1" applyBorder="1" applyAlignment="1">
      <alignment horizontal="center"/>
    </xf>
    <xf numFmtId="0" fontId="0" fillId="0" borderId="6" xfId="0" applyBorder="1"/>
    <xf numFmtId="0" fontId="0" fillId="5" borderId="7" xfId="0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4" fontId="0" fillId="0" borderId="17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left"/>
    </xf>
    <xf numFmtId="0" fontId="0" fillId="0" borderId="0" xfId="0" applyFill="1"/>
    <xf numFmtId="2" fontId="0" fillId="0" borderId="0" xfId="0" applyNumberFormat="1" applyFill="1" applyBorder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70" fontId="0" fillId="0" borderId="7" xfId="0" applyNumberFormat="1" applyFill="1" applyBorder="1" applyAlignment="1">
      <alignment horizontal="center"/>
    </xf>
    <xf numFmtId="170" fontId="0" fillId="0" borderId="9" xfId="0" applyNumberFormat="1" applyFill="1" applyBorder="1" applyAlignment="1">
      <alignment horizontal="center"/>
    </xf>
    <xf numFmtId="170" fontId="0" fillId="2" borderId="14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0" xfId="0" applyFill="1"/>
    <xf numFmtId="164" fontId="0" fillId="0" borderId="8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165" fontId="0" fillId="2" borderId="15" xfId="0" applyNumberFormat="1" applyFill="1" applyBorder="1" applyAlignment="1">
      <alignment horizontal="center"/>
    </xf>
    <xf numFmtId="167" fontId="0" fillId="0" borderId="9" xfId="0" applyNumberFormat="1" applyFill="1" applyBorder="1" applyAlignment="1">
      <alignment horizontal="center"/>
    </xf>
    <xf numFmtId="167" fontId="0" fillId="0" borderId="7" xfId="0" applyNumberFormat="1" applyFill="1" applyBorder="1" applyAlignment="1">
      <alignment horizontal="center"/>
    </xf>
    <xf numFmtId="167" fontId="0" fillId="2" borderId="14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166" fontId="0" fillId="3" borderId="7" xfId="0" applyNumberForma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2" borderId="14" xfId="0" applyNumberFormat="1" applyFill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168" fontId="0" fillId="0" borderId="8" xfId="0" applyNumberFormat="1" applyFill="1" applyBorder="1" applyAlignment="1">
      <alignment horizontal="center"/>
    </xf>
    <xf numFmtId="169" fontId="0" fillId="0" borderId="9" xfId="0" applyNumberFormat="1" applyFill="1" applyBorder="1" applyAlignment="1">
      <alignment horizontal="center"/>
    </xf>
    <xf numFmtId="175" fontId="0" fillId="0" borderId="9" xfId="0" applyNumberFormat="1" applyFill="1" applyBorder="1" applyAlignment="1">
      <alignment horizontal="center"/>
    </xf>
    <xf numFmtId="175" fontId="0" fillId="0" borderId="7" xfId="0" applyNumberFormat="1" applyFill="1" applyBorder="1" applyAlignment="1">
      <alignment horizontal="center"/>
    </xf>
    <xf numFmtId="175" fontId="0" fillId="2" borderId="14" xfId="0" applyNumberFormat="1" applyFill="1" applyBorder="1" applyAlignment="1">
      <alignment horizontal="center"/>
    </xf>
    <xf numFmtId="176" fontId="0" fillId="0" borderId="9" xfId="0" applyNumberFormat="1" applyFill="1" applyBorder="1" applyAlignment="1">
      <alignment horizontal="center"/>
    </xf>
    <xf numFmtId="176" fontId="0" fillId="0" borderId="7" xfId="0" applyNumberFormat="1" applyFill="1" applyBorder="1" applyAlignment="1">
      <alignment horizontal="center"/>
    </xf>
    <xf numFmtId="176" fontId="0" fillId="2" borderId="14" xfId="0" applyNumberForma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175" fontId="0" fillId="0" borderId="0" xfId="0" applyNumberFormat="1" applyFill="1" applyBorder="1" applyAlignment="1">
      <alignment horizontal="center"/>
    </xf>
    <xf numFmtId="171" fontId="0" fillId="0" borderId="9" xfId="0" applyNumberFormat="1" applyFill="1" applyBorder="1" applyAlignment="1">
      <alignment horizontal="center"/>
    </xf>
    <xf numFmtId="171" fontId="0" fillId="0" borderId="7" xfId="0" applyNumberFormat="1" applyFill="1" applyBorder="1" applyAlignment="1">
      <alignment horizontal="center"/>
    </xf>
    <xf numFmtId="171" fontId="0" fillId="2" borderId="14" xfId="0" applyNumberFormat="1" applyFill="1" applyBorder="1" applyAlignment="1">
      <alignment horizontal="center"/>
    </xf>
    <xf numFmtId="170" fontId="0" fillId="0" borderId="10" xfId="0" applyNumberFormat="1" applyFill="1" applyBorder="1" applyAlignment="1">
      <alignment horizontal="center"/>
    </xf>
    <xf numFmtId="170" fontId="0" fillId="0" borderId="12" xfId="0" applyNumberFormat="1" applyFill="1" applyBorder="1" applyAlignment="1">
      <alignment horizontal="center"/>
    </xf>
    <xf numFmtId="170" fontId="0" fillId="2" borderId="15" xfId="0" applyNumberFormat="1" applyFill="1" applyBorder="1" applyAlignment="1">
      <alignment horizontal="center"/>
    </xf>
    <xf numFmtId="177" fontId="0" fillId="0" borderId="9" xfId="0" applyNumberFormat="1" applyFill="1" applyBorder="1" applyAlignment="1">
      <alignment horizontal="center"/>
    </xf>
    <xf numFmtId="177" fontId="0" fillId="0" borderId="7" xfId="0" applyNumberFormat="1" applyFill="1" applyBorder="1" applyAlignment="1">
      <alignment horizontal="center"/>
    </xf>
    <xf numFmtId="1" fontId="0" fillId="4" borderId="21" xfId="0" applyNumberFormat="1" applyFill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70" fontId="0" fillId="3" borderId="7" xfId="0" applyNumberFormat="1" applyFill="1" applyBorder="1" applyAlignment="1">
      <alignment horizontal="center"/>
    </xf>
    <xf numFmtId="170" fontId="0" fillId="3" borderId="12" xfId="0" applyNumberFormat="1" applyFill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166" fontId="0" fillId="0" borderId="9" xfId="1" applyNumberFormat="1" applyFont="1" applyFill="1" applyBorder="1" applyAlignment="1">
      <alignment horizontal="center"/>
    </xf>
    <xf numFmtId="167" fontId="0" fillId="0" borderId="30" xfId="0" applyNumberFormat="1" applyFill="1" applyBorder="1" applyAlignment="1">
      <alignment horizontal="center"/>
    </xf>
    <xf numFmtId="167" fontId="0" fillId="0" borderId="31" xfId="0" applyNumberFormat="1" applyFill="1" applyBorder="1" applyAlignment="1">
      <alignment horizontal="center"/>
    </xf>
    <xf numFmtId="177" fontId="3" fillId="2" borderId="14" xfId="0" applyNumberFormat="1" applyFont="1" applyFill="1" applyBorder="1" applyAlignment="1">
      <alignment horizontal="center"/>
    </xf>
    <xf numFmtId="0" fontId="0" fillId="0" borderId="0" xfId="0" applyFill="1" applyBorder="1"/>
    <xf numFmtId="1" fontId="0" fillId="0" borderId="25" xfId="0" applyNumberFormat="1" applyBorder="1" applyAlignment="1">
      <alignment horizontal="center"/>
    </xf>
    <xf numFmtId="167" fontId="0" fillId="0" borderId="8" xfId="0" applyNumberFormat="1" applyFill="1" applyBorder="1" applyAlignment="1">
      <alignment horizontal="center"/>
    </xf>
    <xf numFmtId="167" fontId="0" fillId="0" borderId="11" xfId="0" applyNumberForma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center"/>
    </xf>
    <xf numFmtId="173" fontId="0" fillId="0" borderId="0" xfId="0" applyNumberFormat="1"/>
    <xf numFmtId="4" fontId="0" fillId="0" borderId="0" xfId="0" applyNumberFormat="1"/>
    <xf numFmtId="174" fontId="0" fillId="0" borderId="0" xfId="0" applyNumberFormat="1"/>
    <xf numFmtId="173" fontId="0" fillId="6" borderId="9" xfId="0" applyNumberFormat="1" applyFill="1" applyBorder="1" applyAlignment="1">
      <alignment horizontal="center"/>
    </xf>
    <xf numFmtId="174" fontId="0" fillId="6" borderId="9" xfId="0" applyNumberFormat="1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174" fontId="0" fillId="6" borderId="7" xfId="0" applyNumberFormat="1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174" fontId="0" fillId="6" borderId="14" xfId="0" applyNumberFormat="1" applyFill="1" applyBorder="1" applyAlignment="1">
      <alignment horizontal="center"/>
    </xf>
    <xf numFmtId="2" fontId="0" fillId="6" borderId="15" xfId="0" applyNumberFormat="1" applyFill="1" applyBorder="1" applyAlignment="1">
      <alignment horizontal="center"/>
    </xf>
    <xf numFmtId="4" fontId="0" fillId="6" borderId="10" xfId="0" applyNumberFormat="1" applyFill="1" applyBorder="1" applyAlignment="1">
      <alignment horizontal="center"/>
    </xf>
    <xf numFmtId="4" fontId="0" fillId="5" borderId="46" xfId="0" applyNumberFormat="1" applyFill="1" applyBorder="1" applyAlignment="1">
      <alignment horizontal="center"/>
    </xf>
    <xf numFmtId="178" fontId="0" fillId="0" borderId="9" xfId="0" applyNumberFormat="1" applyFill="1" applyBorder="1" applyAlignment="1">
      <alignment horizontal="center"/>
    </xf>
    <xf numFmtId="178" fontId="0" fillId="0" borderId="7" xfId="0" applyNumberFormat="1" applyFill="1" applyBorder="1" applyAlignment="1">
      <alignment horizontal="center"/>
    </xf>
    <xf numFmtId="178" fontId="0" fillId="4" borderId="14" xfId="0" applyNumberFormat="1" applyFill="1" applyBorder="1" applyAlignment="1">
      <alignment horizontal="center"/>
    </xf>
    <xf numFmtId="179" fontId="0" fillId="0" borderId="9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9" fontId="0" fillId="2" borderId="14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75" fontId="0" fillId="0" borderId="46" xfId="0" applyNumberFormat="1" applyFill="1" applyBorder="1" applyAlignment="1">
      <alignment horizontal="center"/>
    </xf>
    <xf numFmtId="175" fontId="0" fillId="5" borderId="7" xfId="0" applyNumberFormat="1" applyFill="1" applyBorder="1" applyAlignment="1">
      <alignment horizontal="center"/>
    </xf>
    <xf numFmtId="175" fontId="0" fillId="0" borderId="14" xfId="0" applyNumberFormat="1" applyFill="1" applyBorder="1" applyAlignment="1">
      <alignment horizontal="center"/>
    </xf>
    <xf numFmtId="175" fontId="0" fillId="5" borderId="46" xfId="0" applyNumberFormat="1" applyFill="1" applyBorder="1" applyAlignment="1">
      <alignment horizontal="center"/>
    </xf>
    <xf numFmtId="176" fontId="0" fillId="0" borderId="46" xfId="0" applyNumberFormat="1" applyFill="1" applyBorder="1" applyAlignment="1">
      <alignment horizontal="center"/>
    </xf>
    <xf numFmtId="176" fontId="0" fillId="5" borderId="7" xfId="0" applyNumberFormat="1" applyFill="1" applyBorder="1" applyAlignment="1">
      <alignment horizontal="center"/>
    </xf>
    <xf numFmtId="176" fontId="0" fillId="0" borderId="14" xfId="0" applyNumberFormat="1" applyFill="1" applyBorder="1" applyAlignment="1">
      <alignment horizontal="center"/>
    </xf>
    <xf numFmtId="176" fontId="0" fillId="5" borderId="46" xfId="0" applyNumberFormat="1" applyFill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0" borderId="46" xfId="0" applyNumberFormat="1" applyFill="1" applyBorder="1" applyAlignment="1">
      <alignment horizontal="center"/>
    </xf>
    <xf numFmtId="175" fontId="0" fillId="0" borderId="53" xfId="0" applyNumberFormat="1" applyFill="1" applyBorder="1" applyAlignment="1">
      <alignment horizontal="center"/>
    </xf>
    <xf numFmtId="176" fontId="0" fillId="0" borderId="53" xfId="0" applyNumberFormat="1" applyFill="1" applyBorder="1" applyAlignment="1">
      <alignment horizontal="center"/>
    </xf>
    <xf numFmtId="185" fontId="0" fillId="0" borderId="8" xfId="0" applyNumberFormat="1" applyFill="1" applyBorder="1" applyAlignment="1">
      <alignment horizontal="center"/>
    </xf>
    <xf numFmtId="185" fontId="0" fillId="5" borderId="11" xfId="0" applyNumberFormat="1" applyFill="1" applyBorder="1" applyAlignment="1">
      <alignment horizontal="center"/>
    </xf>
    <xf numFmtId="185" fontId="0" fillId="0" borderId="11" xfId="0" applyNumberFormat="1" applyFill="1" applyBorder="1" applyAlignment="1">
      <alignment horizontal="center"/>
    </xf>
    <xf numFmtId="185" fontId="0" fillId="4" borderId="13" xfId="0" applyNumberFormat="1" applyFill="1" applyBorder="1" applyAlignment="1">
      <alignment horizontal="center"/>
    </xf>
    <xf numFmtId="186" fontId="0" fillId="0" borderId="8" xfId="0" applyNumberFormat="1" applyFill="1" applyBorder="1" applyAlignment="1">
      <alignment horizontal="center"/>
    </xf>
    <xf numFmtId="186" fontId="0" fillId="5" borderId="11" xfId="0" applyNumberFormat="1" applyFill="1" applyBorder="1" applyAlignment="1">
      <alignment horizontal="center"/>
    </xf>
    <xf numFmtId="186" fontId="0" fillId="0" borderId="11" xfId="0" applyNumberFormat="1" applyFill="1" applyBorder="1" applyAlignment="1">
      <alignment horizontal="center"/>
    </xf>
    <xf numFmtId="186" fontId="0" fillId="4" borderId="13" xfId="0" applyNumberFormat="1" applyFill="1" applyBorder="1" applyAlignment="1">
      <alignment horizontal="center"/>
    </xf>
    <xf numFmtId="187" fontId="0" fillId="0" borderId="10" xfId="0" applyNumberFormat="1" applyFill="1" applyBorder="1" applyAlignment="1">
      <alignment horizontal="center"/>
    </xf>
    <xf numFmtId="187" fontId="0" fillId="5" borderId="12" xfId="0" applyNumberFormat="1" applyFill="1" applyBorder="1" applyAlignment="1">
      <alignment horizontal="center"/>
    </xf>
    <xf numFmtId="187" fontId="0" fillId="0" borderId="12" xfId="0" applyNumberFormat="1" applyFill="1" applyBorder="1" applyAlignment="1">
      <alignment horizontal="center"/>
    </xf>
    <xf numFmtId="187" fontId="0" fillId="2" borderId="15" xfId="0" applyNumberFormat="1" applyFill="1" applyBorder="1" applyAlignment="1">
      <alignment horizontal="center"/>
    </xf>
    <xf numFmtId="188" fontId="0" fillId="0" borderId="10" xfId="0" applyNumberFormat="1" applyFill="1" applyBorder="1" applyAlignment="1">
      <alignment horizontal="center"/>
    </xf>
    <xf numFmtId="188" fontId="0" fillId="5" borderId="12" xfId="0" applyNumberFormat="1" applyFill="1" applyBorder="1" applyAlignment="1">
      <alignment horizontal="center"/>
    </xf>
    <xf numFmtId="188" fontId="0" fillId="0" borderId="12" xfId="0" applyNumberFormat="1" applyFill="1" applyBorder="1" applyAlignment="1">
      <alignment horizontal="center"/>
    </xf>
    <xf numFmtId="188" fontId="0" fillId="2" borderId="15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167" fontId="0" fillId="5" borderId="7" xfId="0" applyNumberFormat="1" applyFill="1" applyBorder="1" applyAlignment="1">
      <alignment horizontal="center"/>
    </xf>
    <xf numFmtId="166" fontId="0" fillId="5" borderId="7" xfId="0" applyNumberForma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167" fontId="0" fillId="5" borderId="7" xfId="1" applyNumberFormat="1" applyFont="1" applyFill="1" applyBorder="1" applyAlignment="1">
      <alignment horizontal="center"/>
    </xf>
    <xf numFmtId="166" fontId="0" fillId="5" borderId="7" xfId="1" applyNumberFormat="1" applyFont="1" applyFill="1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0" fontId="0" fillId="5" borderId="0" xfId="0" applyFill="1"/>
    <xf numFmtId="4" fontId="0" fillId="0" borderId="49" xfId="0" applyNumberFormat="1" applyFill="1" applyBorder="1" applyAlignment="1">
      <alignment horizontal="center"/>
    </xf>
    <xf numFmtId="4" fontId="0" fillId="5" borderId="36" xfId="0" applyNumberFormat="1" applyFill="1" applyBorder="1" applyAlignment="1">
      <alignment horizontal="center"/>
    </xf>
    <xf numFmtId="4" fontId="0" fillId="0" borderId="36" xfId="0" applyNumberFormat="1" applyFill="1" applyBorder="1" applyAlignment="1">
      <alignment horizontal="center"/>
    </xf>
    <xf numFmtId="4" fontId="0" fillId="2" borderId="37" xfId="0" applyNumberFormat="1" applyFill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170" fontId="0" fillId="5" borderId="7" xfId="0" applyNumberFormat="1" applyFill="1" applyBorder="1" applyAlignment="1">
      <alignment horizontal="center"/>
    </xf>
    <xf numFmtId="171" fontId="0" fillId="5" borderId="7" xfId="0" applyNumberFormat="1" applyFill="1" applyBorder="1" applyAlignment="1">
      <alignment horizontal="center"/>
    </xf>
    <xf numFmtId="170" fontId="0" fillId="0" borderId="8" xfId="0" applyNumberFormat="1" applyFill="1" applyBorder="1" applyAlignment="1">
      <alignment horizontal="center"/>
    </xf>
    <xf numFmtId="170" fontId="0" fillId="5" borderId="11" xfId="0" applyNumberFormat="1" applyFill="1" applyBorder="1" applyAlignment="1">
      <alignment horizontal="center"/>
    </xf>
    <xf numFmtId="170" fontId="0" fillId="5" borderId="12" xfId="0" applyNumberFormat="1" applyFill="1" applyBorder="1" applyAlignment="1">
      <alignment horizontal="center"/>
    </xf>
    <xf numFmtId="170" fontId="0" fillId="0" borderId="11" xfId="0" applyNumberFormat="1" applyFill="1" applyBorder="1" applyAlignment="1">
      <alignment horizontal="center"/>
    </xf>
    <xf numFmtId="170" fontId="0" fillId="2" borderId="13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166" fontId="0" fillId="0" borderId="10" xfId="1" applyNumberFormat="1" applyFont="1" applyFill="1" applyBorder="1" applyAlignment="1">
      <alignment horizontal="center"/>
    </xf>
    <xf numFmtId="2" fontId="0" fillId="5" borderId="11" xfId="0" applyNumberFormat="1" applyFill="1" applyBorder="1" applyAlignment="1">
      <alignment horizontal="center"/>
    </xf>
    <xf numFmtId="166" fontId="0" fillId="5" borderId="12" xfId="0" applyNumberForma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166" fontId="0" fillId="0" borderId="12" xfId="0" applyNumberFormat="1" applyFill="1" applyBorder="1" applyAlignment="1">
      <alignment horizontal="center"/>
    </xf>
    <xf numFmtId="166" fontId="0" fillId="5" borderId="12" xfId="1" applyNumberFormat="1" applyFon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187" fontId="0" fillId="0" borderId="47" xfId="0" applyNumberFormat="1" applyFill="1" applyBorder="1" applyAlignment="1">
      <alignment horizontal="center"/>
    </xf>
    <xf numFmtId="187" fontId="0" fillId="5" borderId="11" xfId="0" applyNumberFormat="1" applyFill="1" applyBorder="1" applyAlignment="1">
      <alignment horizontal="center"/>
    </xf>
    <xf numFmtId="187" fontId="0" fillId="0" borderId="11" xfId="0" applyNumberFormat="1" applyFill="1" applyBorder="1" applyAlignment="1">
      <alignment horizontal="center"/>
    </xf>
    <xf numFmtId="187" fontId="0" fillId="4" borderId="13" xfId="0" applyNumberFormat="1" applyFill="1" applyBorder="1" applyAlignment="1">
      <alignment horizontal="center"/>
    </xf>
    <xf numFmtId="188" fontId="0" fillId="0" borderId="47" xfId="0" applyNumberFormat="1" applyFill="1" applyBorder="1" applyAlignment="1">
      <alignment horizontal="center"/>
    </xf>
    <xf numFmtId="188" fontId="0" fillId="5" borderId="11" xfId="0" applyNumberFormat="1" applyFill="1" applyBorder="1" applyAlignment="1">
      <alignment horizontal="center"/>
    </xf>
    <xf numFmtId="188" fontId="0" fillId="0" borderId="11" xfId="0" applyNumberFormat="1" applyFill="1" applyBorder="1" applyAlignment="1">
      <alignment horizontal="center"/>
    </xf>
    <xf numFmtId="188" fontId="0" fillId="4" borderId="13" xfId="0" applyNumberFormat="1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80" fontId="0" fillId="5" borderId="0" xfId="0" applyNumberFormat="1" applyFill="1" applyAlignment="1">
      <alignment horizontal="center"/>
    </xf>
    <xf numFmtId="182" fontId="0" fillId="5" borderId="0" xfId="0" applyNumberFormat="1" applyFill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0" fontId="0" fillId="0" borderId="1" xfId="0" applyBorder="1"/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1" fontId="0" fillId="2" borderId="54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0" fillId="0" borderId="30" xfId="0" applyNumberFormat="1" applyFill="1" applyBorder="1" applyAlignment="1">
      <alignment horizontal="center"/>
    </xf>
    <xf numFmtId="1" fontId="0" fillId="0" borderId="57" xfId="0" applyNumberFormat="1" applyFill="1" applyBorder="1" applyAlignment="1">
      <alignment horizontal="center"/>
    </xf>
    <xf numFmtId="1" fontId="0" fillId="0" borderId="58" xfId="0" applyNumberFormat="1" applyFill="1" applyBorder="1" applyAlignment="1">
      <alignment horizontal="center"/>
    </xf>
    <xf numFmtId="1" fontId="0" fillId="0" borderId="60" xfId="0" applyNumberFormat="1" applyFill="1" applyBorder="1" applyAlignment="1">
      <alignment horizontal="center"/>
    </xf>
    <xf numFmtId="1" fontId="0" fillId="0" borderId="36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18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0" borderId="61" xfId="0" applyNumberFormat="1" applyFill="1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62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0" borderId="63" xfId="0" applyNumberFormat="1" applyFill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7" borderId="16" xfId="0" applyNumberFormat="1" applyFill="1" applyBorder="1" applyAlignment="1">
      <alignment horizontal="center"/>
    </xf>
    <xf numFmtId="1" fontId="0" fillId="7" borderId="18" xfId="0" applyNumberFormat="1" applyFill="1" applyBorder="1" applyAlignment="1">
      <alignment horizontal="center"/>
    </xf>
    <xf numFmtId="1" fontId="0" fillId="7" borderId="54" xfId="0" applyNumberFormat="1" applyFill="1" applyBorder="1" applyAlignment="1">
      <alignment horizontal="center"/>
    </xf>
    <xf numFmtId="1" fontId="0" fillId="7" borderId="25" xfId="0" applyNumberFormat="1" applyFill="1" applyBorder="1" applyAlignment="1">
      <alignment horizontal="center"/>
    </xf>
    <xf numFmtId="1" fontId="0" fillId="7" borderId="27" xfId="0" applyNumberFormat="1" applyFill="1" applyBorder="1" applyAlignment="1">
      <alignment horizontal="center"/>
    </xf>
    <xf numFmtId="0" fontId="4" fillId="0" borderId="0" xfId="0" applyFont="1"/>
    <xf numFmtId="2" fontId="0" fillId="0" borderId="64" xfId="0" applyNumberFormat="1" applyFill="1" applyBorder="1" applyAlignment="1">
      <alignment horizontal="center"/>
    </xf>
    <xf numFmtId="2" fontId="0" fillId="0" borderId="56" xfId="0" applyNumberFormat="1" applyFill="1" applyBorder="1" applyAlignment="1">
      <alignment horizontal="center"/>
    </xf>
    <xf numFmtId="2" fontId="0" fillId="2" borderId="56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2" fontId="0" fillId="7" borderId="16" xfId="0" applyNumberFormat="1" applyFill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1" fontId="0" fillId="0" borderId="42" xfId="0" applyNumberForma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7" borderId="44" xfId="0" applyNumberForma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89" fontId="0" fillId="0" borderId="8" xfId="0" applyNumberFormat="1" applyFill="1" applyBorder="1" applyAlignment="1">
      <alignment horizontal="center"/>
    </xf>
    <xf numFmtId="189" fontId="0" fillId="0" borderId="11" xfId="0" applyNumberFormat="1" applyFill="1" applyBorder="1" applyAlignment="1">
      <alignment horizontal="center"/>
    </xf>
    <xf numFmtId="189" fontId="0" fillId="2" borderId="11" xfId="0" applyNumberFormat="1" applyFill="1" applyBorder="1" applyAlignment="1">
      <alignment horizontal="center"/>
    </xf>
    <xf numFmtId="189" fontId="0" fillId="0" borderId="57" xfId="0" applyNumberFormat="1" applyFill="1" applyBorder="1" applyAlignment="1">
      <alignment horizontal="center"/>
    </xf>
    <xf numFmtId="189" fontId="0" fillId="7" borderId="16" xfId="0" applyNumberFormat="1" applyFill="1" applyBorder="1" applyAlignment="1">
      <alignment horizontal="center"/>
    </xf>
    <xf numFmtId="189" fontId="0" fillId="0" borderId="8" xfId="0" applyNumberFormat="1" applyBorder="1" applyAlignment="1">
      <alignment horizontal="center"/>
    </xf>
    <xf numFmtId="189" fontId="0" fillId="0" borderId="11" xfId="0" applyNumberFormat="1" applyBorder="1" applyAlignment="1">
      <alignment horizontal="center"/>
    </xf>
    <xf numFmtId="189" fontId="0" fillId="0" borderId="13" xfId="0" applyNumberFormat="1" applyBorder="1" applyAlignment="1">
      <alignment horizontal="center"/>
    </xf>
    <xf numFmtId="189" fontId="0" fillId="7" borderId="52" xfId="0" applyNumberFormat="1" applyFill="1" applyBorder="1" applyAlignment="1">
      <alignment horizontal="center"/>
    </xf>
    <xf numFmtId="189" fontId="0" fillId="0" borderId="30" xfId="0" applyNumberFormat="1" applyFill="1" applyBorder="1" applyAlignment="1">
      <alignment horizontal="center"/>
    </xf>
    <xf numFmtId="189" fontId="0" fillId="0" borderId="31" xfId="0" applyNumberFormat="1" applyFill="1" applyBorder="1" applyAlignment="1">
      <alignment horizontal="center"/>
    </xf>
    <xf numFmtId="189" fontId="0" fillId="2" borderId="31" xfId="0" applyNumberFormat="1" applyFill="1" applyBorder="1" applyAlignment="1">
      <alignment horizontal="center"/>
    </xf>
    <xf numFmtId="189" fontId="0" fillId="0" borderId="60" xfId="0" applyNumberForma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0" borderId="57" xfId="0" applyNumberFormat="1" applyFill="1" applyBorder="1" applyAlignment="1">
      <alignment horizontal="center"/>
    </xf>
    <xf numFmtId="1" fontId="0" fillId="0" borderId="67" xfId="0" applyNumberFormat="1" applyFill="1" applyBorder="1" applyAlignment="1">
      <alignment horizontal="center"/>
    </xf>
    <xf numFmtId="1" fontId="0" fillId="7" borderId="5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66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7" borderId="25" xfId="0" applyNumberFormat="1" applyFill="1" applyBorder="1" applyAlignment="1">
      <alignment horizontal="center"/>
    </xf>
    <xf numFmtId="1" fontId="0" fillId="0" borderId="64" xfId="0" applyNumberFormat="1" applyFill="1" applyBorder="1" applyAlignment="1">
      <alignment horizontal="center"/>
    </xf>
    <xf numFmtId="1" fontId="0" fillId="0" borderId="56" xfId="0" applyNumberFormat="1" applyFill="1" applyBorder="1" applyAlignment="1">
      <alignment horizontal="center"/>
    </xf>
    <xf numFmtId="1" fontId="0" fillId="2" borderId="56" xfId="0" applyNumberFormat="1" applyFill="1" applyBorder="1" applyAlignment="1">
      <alignment horizontal="center"/>
    </xf>
    <xf numFmtId="1" fontId="0" fillId="0" borderId="69" xfId="0" applyNumberFormat="1" applyFill="1" applyBorder="1" applyAlignment="1">
      <alignment horizontal="center"/>
    </xf>
    <xf numFmtId="2" fontId="0" fillId="7" borderId="27" xfId="0" applyNumberFormat="1" applyFill="1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2" fontId="0" fillId="7" borderId="28" xfId="0" applyNumberFormat="1" applyFill="1" applyBorder="1" applyAlignment="1">
      <alignment horizontal="center"/>
    </xf>
    <xf numFmtId="1" fontId="0" fillId="7" borderId="70" xfId="0" applyNumberForma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6" borderId="16" xfId="0" applyNumberFormat="1" applyFont="1" applyFill="1" applyBorder="1" applyAlignment="1">
      <alignment horizontal="center"/>
    </xf>
    <xf numFmtId="1" fontId="3" fillId="6" borderId="18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2" fontId="3" fillId="6" borderId="44" xfId="0" applyNumberFormat="1" applyFont="1" applyFill="1" applyBorder="1" applyAlignment="1">
      <alignment horizontal="center"/>
    </xf>
    <xf numFmtId="2" fontId="3" fillId="6" borderId="2" xfId="0" applyNumberFormat="1" applyFont="1" applyFill="1" applyBorder="1" applyAlignment="1">
      <alignment horizontal="center"/>
    </xf>
    <xf numFmtId="2" fontId="3" fillId="6" borderId="16" xfId="0" applyNumberFormat="1" applyFont="1" applyFill="1" applyBorder="1" applyAlignment="1">
      <alignment horizontal="center"/>
    </xf>
    <xf numFmtId="2" fontId="3" fillId="6" borderId="18" xfId="0" applyNumberFormat="1" applyFont="1" applyFill="1" applyBorder="1" applyAlignment="1">
      <alignment horizontal="center"/>
    </xf>
    <xf numFmtId="189" fontId="3" fillId="6" borderId="16" xfId="0" applyNumberFormat="1" applyFont="1" applyFill="1" applyBorder="1" applyAlignment="1">
      <alignment horizontal="center"/>
    </xf>
    <xf numFmtId="1" fontId="3" fillId="6" borderId="28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6" xfId="0" applyFill="1" applyBorder="1" applyAlignment="1">
      <alignment horizontal="center"/>
    </xf>
    <xf numFmtId="2" fontId="0" fillId="0" borderId="0" xfId="0" applyNumberFormat="1" applyFill="1" applyBorder="1" applyAlignment="1">
      <alignment horizontal="left"/>
    </xf>
    <xf numFmtId="2" fontId="0" fillId="0" borderId="0" xfId="0" applyNumberFormat="1" applyFill="1" applyBorder="1" applyAlignment="1"/>
    <xf numFmtId="0" fontId="3" fillId="0" borderId="0" xfId="1" applyFont="1" applyFill="1" applyBorder="1"/>
    <xf numFmtId="0" fontId="0" fillId="0" borderId="0" xfId="0" applyFont="1" applyFill="1" applyBorder="1"/>
    <xf numFmtId="2" fontId="0" fillId="0" borderId="0" xfId="0" applyNumberFormat="1" applyFill="1" applyBorder="1"/>
    <xf numFmtId="184" fontId="0" fillId="0" borderId="0" xfId="0" applyNumberFormat="1" applyFill="1" applyBorder="1"/>
    <xf numFmtId="182" fontId="0" fillId="0" borderId="0" xfId="0" applyNumberFormat="1" applyFill="1" applyBorder="1"/>
    <xf numFmtId="183" fontId="0" fillId="0" borderId="0" xfId="0" applyNumberFormat="1" applyFill="1" applyBorder="1"/>
    <xf numFmtId="2" fontId="0" fillId="0" borderId="59" xfId="0" applyNumberFormat="1" applyBorder="1" applyAlignment="1">
      <alignment horizontal="center"/>
    </xf>
    <xf numFmtId="4" fontId="0" fillId="0" borderId="62" xfId="0" applyNumberFormat="1" applyFill="1" applyBorder="1" applyAlignment="1">
      <alignment horizontal="center"/>
    </xf>
    <xf numFmtId="4" fontId="0" fillId="5" borderId="49" xfId="0" applyNumberFormat="1" applyFill="1" applyBorder="1" applyAlignment="1">
      <alignment horizontal="center"/>
    </xf>
    <xf numFmtId="4" fontId="0" fillId="2" borderId="59" xfId="0" applyNumberFormat="1" applyFill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46" xfId="0" applyNumberFormat="1" applyBorder="1" applyAlignment="1">
      <alignment horizontal="center"/>
    </xf>
    <xf numFmtId="4" fontId="0" fillId="2" borderId="53" xfId="0" applyNumberFormat="1" applyFill="1" applyBorder="1" applyAlignment="1">
      <alignment horizontal="center"/>
    </xf>
    <xf numFmtId="167" fontId="0" fillId="5" borderId="0" xfId="0" applyNumberFormat="1" applyFill="1" applyAlignment="1">
      <alignment horizontal="center"/>
    </xf>
    <xf numFmtId="171" fontId="0" fillId="5" borderId="0" xfId="0" applyNumberFormat="1" applyFill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171" fontId="0" fillId="0" borderId="62" xfId="0" applyNumberFormat="1" applyFill="1" applyBorder="1" applyAlignment="1">
      <alignment horizontal="center"/>
    </xf>
    <xf numFmtId="171" fontId="0" fillId="0" borderId="30" xfId="0" applyNumberFormat="1" applyFill="1" applyBorder="1" applyAlignment="1">
      <alignment horizontal="center"/>
    </xf>
    <xf numFmtId="171" fontId="0" fillId="5" borderId="36" xfId="0" applyNumberFormat="1" applyFill="1" applyBorder="1" applyAlignment="1">
      <alignment horizontal="center"/>
    </xf>
    <xf numFmtId="171" fontId="0" fillId="5" borderId="31" xfId="0" applyNumberFormat="1" applyFill="1" applyBorder="1" applyAlignment="1">
      <alignment horizontal="center"/>
    </xf>
    <xf numFmtId="171" fontId="0" fillId="0" borderId="36" xfId="0" applyNumberFormat="1" applyFill="1" applyBorder="1" applyAlignment="1">
      <alignment horizontal="center"/>
    </xf>
    <xf numFmtId="171" fontId="0" fillId="0" borderId="31" xfId="0" applyNumberFormat="1" applyFill="1" applyBorder="1" applyAlignment="1">
      <alignment horizontal="center"/>
    </xf>
    <xf numFmtId="171" fontId="0" fillId="2" borderId="37" xfId="0" applyNumberFormat="1" applyFill="1" applyBorder="1" applyAlignment="1">
      <alignment horizontal="center"/>
    </xf>
    <xf numFmtId="171" fontId="0" fillId="2" borderId="32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189" fontId="0" fillId="0" borderId="22" xfId="0" applyNumberFormat="1" applyBorder="1" applyAlignment="1">
      <alignment horizontal="center"/>
    </xf>
    <xf numFmtId="189" fontId="0" fillId="0" borderId="23" xfId="0" applyNumberFormat="1" applyBorder="1" applyAlignment="1">
      <alignment horizontal="center"/>
    </xf>
    <xf numFmtId="189" fontId="0" fillId="0" borderId="23" xfId="0" applyNumberFormat="1" applyFill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72" xfId="0" applyFill="1" applyBorder="1" applyAlignment="1">
      <alignment horizontal="center"/>
    </xf>
    <xf numFmtId="2" fontId="0" fillId="0" borderId="69" xfId="0" applyNumberForma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0" fontId="0" fillId="0" borderId="71" xfId="0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0" fillId="0" borderId="73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0" fontId="0" fillId="0" borderId="65" xfId="0" applyBorder="1" applyAlignment="1">
      <alignment horizontal="center"/>
    </xf>
    <xf numFmtId="2" fontId="0" fillId="0" borderId="65" xfId="0" applyNumberFormat="1" applyBorder="1" applyAlignment="1">
      <alignment horizontal="center"/>
    </xf>
    <xf numFmtId="189" fontId="0" fillId="0" borderId="71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0" fontId="0" fillId="7" borderId="44" xfId="0" applyFill="1" applyBorder="1" applyAlignment="1">
      <alignment horizontal="center"/>
    </xf>
    <xf numFmtId="181" fontId="0" fillId="7" borderId="16" xfId="0" applyNumberFormat="1" applyFill="1" applyBorder="1" applyAlignment="1">
      <alignment horizontal="center"/>
    </xf>
    <xf numFmtId="189" fontId="0" fillId="0" borderId="12" xfId="0" applyNumberFormat="1" applyFill="1" applyBorder="1" applyAlignment="1">
      <alignment horizontal="center"/>
    </xf>
    <xf numFmtId="189" fontId="0" fillId="0" borderId="13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89" fontId="0" fillId="7" borderId="25" xfId="0" applyNumberFormat="1" applyFill="1" applyBorder="1" applyAlignment="1">
      <alignment horizontal="center"/>
    </xf>
    <xf numFmtId="1" fontId="0" fillId="0" borderId="22" xfId="0" applyNumberFormat="1" applyFill="1" applyBorder="1" applyAlignment="1">
      <alignment horizontal="center"/>
    </xf>
    <xf numFmtId="1" fontId="0" fillId="0" borderId="23" xfId="0" applyNumberForma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" fontId="0" fillId="0" borderId="71" xfId="0" applyNumberFormat="1" applyFill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1" fontId="0" fillId="7" borderId="50" xfId="0" applyNumberFormat="1" applyFill="1" applyBorder="1" applyAlignment="1">
      <alignment horizontal="center"/>
    </xf>
    <xf numFmtId="1" fontId="3" fillId="6" borderId="44" xfId="0" applyNumberFormat="1" applyFont="1" applyFill="1" applyBorder="1" applyAlignment="1">
      <alignment horizontal="center"/>
    </xf>
    <xf numFmtId="189" fontId="0" fillId="0" borderId="46" xfId="0" applyNumberFormat="1" applyFill="1" applyBorder="1" applyAlignment="1">
      <alignment horizontal="center"/>
    </xf>
    <xf numFmtId="189" fontId="0" fillId="5" borderId="46" xfId="0" applyNumberForma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2" fontId="0" fillId="0" borderId="48" xfId="0" applyNumberFormat="1" applyBorder="1"/>
    <xf numFmtId="2" fontId="0" fillId="5" borderId="48" xfId="0" applyNumberFormat="1" applyFill="1" applyBorder="1"/>
    <xf numFmtId="2" fontId="0" fillId="0" borderId="48" xfId="0" applyNumberFormat="1" applyFill="1" applyBorder="1"/>
    <xf numFmtId="2" fontId="0" fillId="0" borderId="72" xfId="0" applyNumberFormat="1" applyFill="1" applyBorder="1" applyAlignment="1">
      <alignment horizontal="center"/>
    </xf>
    <xf numFmtId="2" fontId="0" fillId="0" borderId="29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center"/>
    </xf>
    <xf numFmtId="2" fontId="0" fillId="5" borderId="72" xfId="0" applyNumberFormat="1" applyFill="1" applyBorder="1" applyAlignment="1">
      <alignment horizontal="center"/>
    </xf>
    <xf numFmtId="188" fontId="0" fillId="0" borderId="8" xfId="0" applyNumberFormat="1" applyFill="1" applyBorder="1" applyAlignment="1">
      <alignment horizontal="center"/>
    </xf>
    <xf numFmtId="4" fontId="0" fillId="5" borderId="48" xfId="0" applyNumberFormat="1" applyFill="1" applyBorder="1" applyAlignment="1">
      <alignment horizontal="center"/>
    </xf>
    <xf numFmtId="4" fontId="0" fillId="0" borderId="48" xfId="0" applyNumberFormat="1" applyFill="1" applyBorder="1" applyAlignment="1">
      <alignment horizontal="center"/>
    </xf>
    <xf numFmtId="4" fontId="0" fillId="0" borderId="53" xfId="0" applyNumberFormat="1" applyFill="1" applyBorder="1" applyAlignment="1">
      <alignment horizontal="center"/>
    </xf>
    <xf numFmtId="4" fontId="0" fillId="0" borderId="54" xfId="0" applyNumberFormat="1" applyFill="1" applyBorder="1" applyAlignment="1">
      <alignment horizontal="center"/>
    </xf>
    <xf numFmtId="187" fontId="0" fillId="0" borderId="8" xfId="0" applyNumberFormat="1" applyFill="1" applyBorder="1" applyAlignment="1">
      <alignment horizontal="center"/>
    </xf>
    <xf numFmtId="189" fontId="0" fillId="0" borderId="9" xfId="0" applyNumberFormat="1" applyFill="1" applyBorder="1" applyAlignment="1">
      <alignment horizontal="center"/>
    </xf>
    <xf numFmtId="2" fontId="0" fillId="0" borderId="10" xfId="0" applyNumberFormat="1" applyBorder="1"/>
    <xf numFmtId="189" fontId="0" fillId="0" borderId="53" xfId="0" applyNumberFormat="1" applyFill="1" applyBorder="1" applyAlignment="1">
      <alignment horizontal="center"/>
    </xf>
    <xf numFmtId="2" fontId="0" fillId="0" borderId="54" xfId="0" applyNumberFormat="1" applyBorder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7" fontId="0" fillId="5" borderId="31" xfId="0" applyNumberFormat="1" applyFill="1" applyBorder="1" applyAlignment="1">
      <alignment horizontal="center"/>
    </xf>
    <xf numFmtId="167" fontId="0" fillId="5" borderId="31" xfId="1" applyNumberFormat="1" applyFont="1" applyFill="1" applyBorder="1" applyAlignment="1">
      <alignment horizontal="center"/>
    </xf>
    <xf numFmtId="167" fontId="0" fillId="2" borderId="32" xfId="0" applyNumberFormat="1" applyFill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71" fontId="0" fillId="0" borderId="14" xfId="0" applyNumberFormat="1" applyFill="1" applyBorder="1" applyAlignment="1">
      <alignment horizontal="center"/>
    </xf>
    <xf numFmtId="0" fontId="0" fillId="0" borderId="27" xfId="0" applyBorder="1" applyAlignment="1">
      <alignment horizontal="center"/>
    </xf>
    <xf numFmtId="171" fontId="0" fillId="0" borderId="8" xfId="0" applyNumberFormat="1" applyFill="1" applyBorder="1" applyAlignment="1">
      <alignment horizontal="center"/>
    </xf>
    <xf numFmtId="171" fontId="0" fillId="0" borderId="10" xfId="0" applyNumberFormat="1" applyFill="1" applyBorder="1" applyAlignment="1">
      <alignment horizontal="center"/>
    </xf>
    <xf numFmtId="171" fontId="0" fillId="5" borderId="11" xfId="0" applyNumberFormat="1" applyFill="1" applyBorder="1" applyAlignment="1">
      <alignment horizontal="center"/>
    </xf>
    <xf numFmtId="171" fontId="0" fillId="5" borderId="12" xfId="0" applyNumberFormat="1" applyFill="1" applyBorder="1" applyAlignment="1">
      <alignment horizontal="center"/>
    </xf>
    <xf numFmtId="171" fontId="0" fillId="0" borderId="11" xfId="0" applyNumberFormat="1" applyFill="1" applyBorder="1" applyAlignment="1">
      <alignment horizontal="center"/>
    </xf>
    <xf numFmtId="171" fontId="0" fillId="0" borderId="12" xfId="0" applyNumberFormat="1" applyFill="1" applyBorder="1" applyAlignment="1">
      <alignment horizontal="center"/>
    </xf>
    <xf numFmtId="171" fontId="0" fillId="2" borderId="13" xfId="0" applyNumberFormat="1" applyFill="1" applyBorder="1" applyAlignment="1">
      <alignment horizontal="center"/>
    </xf>
    <xf numFmtId="171" fontId="0" fillId="2" borderId="15" xfId="0" applyNumberFormat="1" applyFill="1" applyBorder="1" applyAlignment="1">
      <alignment horizontal="center"/>
    </xf>
    <xf numFmtId="167" fontId="0" fillId="0" borderId="30" xfId="0" applyNumberFormat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167" fontId="0" fillId="5" borderId="11" xfId="0" applyNumberFormat="1" applyFill="1" applyBorder="1" applyAlignment="1">
      <alignment horizontal="center"/>
    </xf>
    <xf numFmtId="167" fontId="0" fillId="5" borderId="12" xfId="0" applyNumberFormat="1" applyFill="1" applyBorder="1" applyAlignment="1">
      <alignment horizontal="center"/>
    </xf>
    <xf numFmtId="167" fontId="0" fillId="0" borderId="12" xfId="0" applyNumberFormat="1" applyFill="1" applyBorder="1" applyAlignment="1">
      <alignment horizontal="center"/>
    </xf>
    <xf numFmtId="167" fontId="0" fillId="5" borderId="11" xfId="1" applyNumberFormat="1" applyFont="1" applyFill="1" applyBorder="1" applyAlignment="1">
      <alignment horizontal="center"/>
    </xf>
    <xf numFmtId="167" fontId="0" fillId="5" borderId="12" xfId="1" applyNumberFormat="1" applyFont="1" applyFill="1" applyBorder="1" applyAlignment="1">
      <alignment horizontal="center"/>
    </xf>
    <xf numFmtId="167" fontId="0" fillId="2" borderId="13" xfId="0" applyNumberFormat="1" applyFill="1" applyBorder="1" applyAlignment="1">
      <alignment horizontal="center"/>
    </xf>
    <xf numFmtId="167" fontId="0" fillId="2" borderId="15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" fontId="0" fillId="0" borderId="27" xfId="0" applyNumberFormat="1" applyFill="1" applyBorder="1" applyAlignment="1">
      <alignment horizontal="center"/>
    </xf>
    <xf numFmtId="3" fontId="0" fillId="0" borderId="75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/>
    </xf>
    <xf numFmtId="3" fontId="0" fillId="0" borderId="31" xfId="0" applyNumberFormat="1" applyFill="1" applyBorder="1" applyAlignment="1">
      <alignment horizontal="center"/>
    </xf>
    <xf numFmtId="3" fontId="0" fillId="2" borderId="32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180" fontId="0" fillId="0" borderId="0" xfId="0" applyNumberFormat="1" applyAlignment="1">
      <alignment horizontal="center"/>
    </xf>
    <xf numFmtId="18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0" fillId="0" borderId="4" xfId="0" applyBorder="1"/>
    <xf numFmtId="0" fontId="0" fillId="0" borderId="45" xfId="0" applyBorder="1"/>
    <xf numFmtId="0" fontId="0" fillId="0" borderId="68" xfId="0" applyBorder="1"/>
    <xf numFmtId="0" fontId="0" fillId="0" borderId="55" xfId="0" applyBorder="1"/>
    <xf numFmtId="2" fontId="0" fillId="5" borderId="49" xfId="0" applyNumberFormat="1" applyFill="1" applyBorder="1" applyAlignment="1">
      <alignment horizontal="center"/>
    </xf>
    <xf numFmtId="0" fontId="0" fillId="0" borderId="51" xfId="0" applyBorder="1"/>
    <xf numFmtId="0" fontId="0" fillId="0" borderId="0" xfId="0" applyBorder="1"/>
    <xf numFmtId="0" fontId="0" fillId="0" borderId="29" xfId="0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4" fillId="0" borderId="28" xfId="0" applyNumberFormat="1" applyFont="1" applyBorder="1" applyAlignment="1">
      <alignment horizontal="center" vertical="center"/>
    </xf>
    <xf numFmtId="2" fontId="4" fillId="0" borderId="50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/>
    </xf>
    <xf numFmtId="2" fontId="4" fillId="0" borderId="55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65" fontId="0" fillId="0" borderId="22" xfId="0" applyNumberFormat="1" applyFill="1" applyBorder="1" applyAlignment="1">
      <alignment horizontal="center"/>
    </xf>
    <xf numFmtId="165" fontId="0" fillId="0" borderId="23" xfId="0" applyNumberFormat="1" applyFill="1" applyBorder="1" applyAlignment="1">
      <alignment horizontal="center"/>
    </xf>
    <xf numFmtId="165" fontId="0" fillId="2" borderId="24" xfId="0" applyNumberForma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21FF4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20113938171706"/>
          <c:y val="0.12410194778284303"/>
          <c:w val="0.73697747653688472"/>
          <c:h val="0.78581627296587964"/>
        </c:manualLayout>
      </c:layout>
      <c:scatterChart>
        <c:scatterStyle val="lineMarker"/>
        <c:varyColors val="0"/>
        <c:ser>
          <c:idx val="0"/>
          <c:order val="0"/>
          <c:tx>
            <c:v>Airbus A330-300</c:v>
          </c:tx>
          <c:spPr>
            <a:ln w="28575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A330-300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Medie!$B$37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Medie!$C$4</c:f>
              <c:numCache>
                <c:formatCode>#,##0.00\ \K\g</c:formatCode>
                <c:ptCount val="1"/>
                <c:pt idx="0">
                  <c:v>235000</c:v>
                </c:pt>
              </c:numCache>
            </c:numRef>
          </c:yVal>
          <c:smooth val="0"/>
        </c:ser>
        <c:ser>
          <c:idx val="1"/>
          <c:order val="1"/>
          <c:tx>
            <c:v>Airbus A340-600</c:v>
          </c:tx>
          <c:spPr>
            <a:ln w="28575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A340-600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Medie!$B$38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Medie!$C$5</c:f>
              <c:numCache>
                <c:formatCode>#,##0.00\ \K\g</c:formatCode>
                <c:ptCount val="1"/>
                <c:pt idx="0">
                  <c:v>235000</c:v>
                </c:pt>
              </c:numCache>
            </c:numRef>
          </c:yVal>
          <c:smooth val="0"/>
        </c:ser>
        <c:ser>
          <c:idx val="2"/>
          <c:order val="2"/>
          <c:tx>
            <c:v>Airbus A380</c:v>
          </c:tx>
          <c:spPr>
            <a:ln w="28575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A380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Medie!$B$39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Medie!$C$6</c:f>
              <c:numCache>
                <c:formatCode>#,##0.00\ \K\g</c:formatCode>
                <c:ptCount val="1"/>
                <c:pt idx="0">
                  <c:v>235000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Medie!$A$7</c:f>
              <c:strCache>
                <c:ptCount val="1"/>
                <c:pt idx="0">
                  <c:v>Boeing 747-400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B747-400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Medie!$B$40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Medie!$C$7</c:f>
              <c:numCache>
                <c:formatCode>#,##0.00\ \K\g</c:formatCode>
                <c:ptCount val="1"/>
                <c:pt idx="0">
                  <c:v>235000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Medie!$A$10</c:f>
              <c:strCache>
                <c:ptCount val="1"/>
                <c:pt idx="0">
                  <c:v>MD-11ER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MD-11ER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Medie!$B$43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Medie!$C$10</c:f>
              <c:numCache>
                <c:formatCode>#,##0.00\ \K\g</c:formatCode>
                <c:ptCount val="1"/>
                <c:pt idx="0">
                  <c:v>235000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Medie!$A$8</c:f>
              <c:strCache>
                <c:ptCount val="1"/>
                <c:pt idx="0">
                  <c:v>Boeing 777-300ER(2 classi)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9544666157593708E-3"/>
                  <c:y val="4.21052631578947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B777-300ER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Medie!$B$41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Medie!$C$8</c:f>
              <c:numCache>
                <c:formatCode>#,##0.00\ \K\g</c:formatCode>
                <c:ptCount val="1"/>
                <c:pt idx="0">
                  <c:v>235000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Medie!$A$9</c:f>
              <c:strCache>
                <c:ptCount val="1"/>
                <c:pt idx="0">
                  <c:v>Ilyushin IL-96-400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Il-96-400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Medie!$B$42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Medie!$C$9</c:f>
              <c:numCache>
                <c:formatCode>#,##0.00\ \K\g</c:formatCode>
                <c:ptCount val="1"/>
                <c:pt idx="0">
                  <c:v>235000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02368"/>
        <c:axId val="100602944"/>
      </c:scatterChart>
      <c:valAx>
        <c:axId val="100602368"/>
        <c:scaling>
          <c:orientation val="minMax"/>
          <c:min val="8000"/>
        </c:scaling>
        <c:delete val="0"/>
        <c:axPos val="b"/>
        <c:numFmt formatCode="#,##0" sourceLinked="0"/>
        <c:majorTickMark val="out"/>
        <c:minorTickMark val="none"/>
        <c:tickLblPos val="nextTo"/>
        <c:crossAx val="100602944"/>
        <c:crosses val="autoZero"/>
        <c:crossBetween val="midCat"/>
        <c:majorUnit val="2000"/>
      </c:valAx>
      <c:valAx>
        <c:axId val="100602944"/>
        <c:scaling>
          <c:orientation val="minMax"/>
          <c:min val="2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0602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1017178241954"/>
          <c:y val="0.11321079255173994"/>
          <c:w val="0.7887469227349645"/>
          <c:h val="0.7951386986567538"/>
        </c:manualLayout>
      </c:layout>
      <c:scatterChart>
        <c:scatterStyle val="lineMarker"/>
        <c:varyColors val="0"/>
        <c:ser>
          <c:idx val="0"/>
          <c:order val="0"/>
          <c:tx>
            <c:v>Airbus A330-300</c:v>
          </c:tx>
          <c:spPr>
            <a:ln w="28575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A330-300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Medie!$B$37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Medie!$B$4</c:f>
              <c:numCache>
                <c:formatCode>General</c:formatCode>
                <c:ptCount val="1"/>
                <c:pt idx="0">
                  <c:v>440</c:v>
                </c:pt>
              </c:numCache>
            </c:numRef>
          </c:yVal>
          <c:smooth val="0"/>
        </c:ser>
        <c:ser>
          <c:idx val="1"/>
          <c:order val="1"/>
          <c:tx>
            <c:v>Airbus A340-600</c:v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6083945531148627E-2"/>
                  <c:y val="4.20712081316943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A340-600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Medie!$B$38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Medie!$B$5</c:f>
              <c:numCache>
                <c:formatCode>General</c:formatCode>
                <c:ptCount val="1"/>
                <c:pt idx="0">
                  <c:v>380</c:v>
                </c:pt>
              </c:numCache>
            </c:numRef>
          </c:yVal>
          <c:smooth val="0"/>
        </c:ser>
        <c:ser>
          <c:idx val="2"/>
          <c:order val="2"/>
          <c:tx>
            <c:v>Airbus A380</c:v>
          </c:tx>
          <c:spPr>
            <a:ln w="28575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A380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Medie!$B$39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Medie!$B$6</c:f>
              <c:numCache>
                <c:formatCode>0</c:formatCode>
                <c:ptCount val="1"/>
                <c:pt idx="0">
                  <c:v>853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Medie!$A$7</c:f>
              <c:strCache>
                <c:ptCount val="1"/>
                <c:pt idx="0">
                  <c:v>Boeing 747-400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747-400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Medie!$B$40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Medie!$B$7</c:f>
              <c:numCache>
                <c:formatCode>General</c:formatCode>
                <c:ptCount val="1"/>
                <c:pt idx="0">
                  <c:v>524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Medie!$A$10</c:f>
              <c:strCache>
                <c:ptCount val="1"/>
                <c:pt idx="0">
                  <c:v>MD-11ER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.1145531755133756"/>
                  <c:y val="-6.47249355872221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 777-300ER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Medie!$B$43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Medie!$B$10</c:f>
              <c:numCache>
                <c:formatCode>General</c:formatCode>
                <c:ptCount val="1"/>
                <c:pt idx="0">
                  <c:v>410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Medie!$A$8</c:f>
              <c:strCache>
                <c:ptCount val="1"/>
                <c:pt idx="0">
                  <c:v>Boeing 777-300ER(2 classi)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1080162053726525"/>
                  <c:y val="-4.53074549110554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MD-11ER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Medie!$B$41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Medie!$B$8</c:f>
              <c:numCache>
                <c:formatCode>0</c:formatCode>
                <c:ptCount val="1"/>
                <c:pt idx="0">
                  <c:v>400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Medie!$A$9</c:f>
              <c:strCache>
                <c:ptCount val="1"/>
                <c:pt idx="0">
                  <c:v>Ilyushin IL-96-400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-4.8251836593445667E-2"/>
                  <c:y val="3.55987145729721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IL-96-400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Medie!$B$42</c:f>
              <c:numCache>
                <c:formatCode>#,##0.00\ \K\m</c:formatCode>
                <c:ptCount val="1"/>
                <c:pt idx="0">
                  <c:v>10830</c:v>
                </c:pt>
              </c:numCache>
            </c:numRef>
          </c:xVal>
          <c:yVal>
            <c:numRef>
              <c:f>Medie!$B$9</c:f>
              <c:numCache>
                <c:formatCode>0</c:formatCode>
                <c:ptCount val="1"/>
                <c:pt idx="0">
                  <c:v>436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05248"/>
        <c:axId val="105250816"/>
      </c:scatterChart>
      <c:valAx>
        <c:axId val="100605248"/>
        <c:scaling>
          <c:orientation val="minMax"/>
          <c:min val="8000"/>
        </c:scaling>
        <c:delete val="0"/>
        <c:axPos val="b"/>
        <c:numFmt formatCode="#,##0.00" sourceLinked="0"/>
        <c:majorTickMark val="out"/>
        <c:minorTickMark val="none"/>
        <c:tickLblPos val="nextTo"/>
        <c:crossAx val="105250816"/>
        <c:crosses val="autoZero"/>
        <c:crossBetween val="midCat"/>
        <c:majorUnit val="2000"/>
      </c:valAx>
      <c:valAx>
        <c:axId val="105250816"/>
        <c:scaling>
          <c:orientation val="minMax"/>
          <c:min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605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84906145679773"/>
          <c:y val="0.12656665030035219"/>
          <c:w val="0.77938852663982006"/>
          <c:h val="0.79629199929685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Medie!$A$21</c:f>
              <c:strCache>
                <c:ptCount val="1"/>
                <c:pt idx="0">
                  <c:v>Airbus A330-300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-2.3766965835688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A330-300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Medie!$K$37</c:f>
              <c:numCache>
                <c:formatCode>#,##0.00\ \l\b\/\f\t\^\2</c:formatCode>
                <c:ptCount val="1"/>
                <c:pt idx="0">
                  <c:v>133.1384892086331</c:v>
                </c:pt>
              </c:numCache>
            </c:numRef>
          </c:xVal>
          <c:yVal>
            <c:numRef>
              <c:f>Medie!$I$37</c:f>
              <c:numCache>
                <c:formatCode>#,##0.00</c:formatCode>
                <c:ptCount val="1"/>
                <c:pt idx="0">
                  <c:v>0.26460190426616348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Medie!$A$22</c:f>
              <c:strCache>
                <c:ptCount val="1"/>
                <c:pt idx="0">
                  <c:v>Airbus A340-600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7872393913845121E-3"/>
                  <c:y val="3.86213194829936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A340-600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Medie!$K$38</c:f>
              <c:numCache>
                <c:formatCode>#,##0.00\ \l\b\/\f\t\^\2</c:formatCode>
                <c:ptCount val="1"/>
                <c:pt idx="0">
                  <c:v>133.1384892086331</c:v>
                </c:pt>
              </c:numCache>
            </c:numRef>
          </c:xVal>
          <c:yVal>
            <c:numRef>
              <c:f>Medie!$I$38</c:f>
              <c:numCache>
                <c:formatCode>#,##0.00</c:formatCode>
                <c:ptCount val="1"/>
                <c:pt idx="0">
                  <c:v>0.52920380853232696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Medie!$A$23</c:f>
              <c:strCache>
                <c:ptCount val="1"/>
                <c:pt idx="0">
                  <c:v>Airbus A380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A380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Ref>
              <c:f>Medie!$K$39</c:f>
              <c:numCache>
                <c:formatCode>#,##0.00\ \l\b\/\f\t\^\2</c:formatCode>
                <c:ptCount val="1"/>
                <c:pt idx="0">
                  <c:v>133.1384892086331</c:v>
                </c:pt>
              </c:numCache>
            </c:numRef>
          </c:xVal>
          <c:yVal>
            <c:numRef>
              <c:f>Medie!$I$39</c:f>
              <c:numCache>
                <c:formatCode>#,##0.00</c:formatCode>
                <c:ptCount val="1"/>
                <c:pt idx="0">
                  <c:v>0.52920380853232696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Medie!$A$24</c:f>
              <c:strCache>
                <c:ptCount val="1"/>
                <c:pt idx="0">
                  <c:v>Boeing 747-400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747-400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Medie!$K$40</c:f>
              <c:numCache>
                <c:formatCode>#,##0.00\ \l\b\/\f\t\^\2</c:formatCode>
                <c:ptCount val="1"/>
                <c:pt idx="0">
                  <c:v>133.1384892086331</c:v>
                </c:pt>
              </c:numCache>
            </c:numRef>
          </c:xVal>
          <c:yVal>
            <c:numRef>
              <c:f>Medie!$I$40</c:f>
              <c:numCache>
                <c:formatCode>#,##0.00</c:formatCode>
                <c:ptCount val="1"/>
                <c:pt idx="0">
                  <c:v>0.52920380853232696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Medie!$A$27</c:f>
              <c:strCache>
                <c:ptCount val="1"/>
                <c:pt idx="0">
                  <c:v>MD-11ER</c:v>
                </c:pt>
              </c:strCache>
            </c:strRef>
          </c:tx>
          <c:spPr>
            <a:ln w="28575">
              <a:noFill/>
            </a:ln>
          </c:spP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Medie!$K$43</c:f>
              <c:numCache>
                <c:formatCode>#,##0.00\ \l\b\/\f\t\^\2</c:formatCode>
                <c:ptCount val="1"/>
                <c:pt idx="0">
                  <c:v>133.1384892086331</c:v>
                </c:pt>
              </c:numCache>
            </c:numRef>
          </c:xVal>
          <c:yVal>
            <c:numRef>
              <c:f>Medie!$I$43</c:f>
              <c:numCache>
                <c:formatCode>#,##0.00</c:formatCode>
                <c:ptCount val="1"/>
                <c:pt idx="0">
                  <c:v>0.39690285639924522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Medie!$A$25</c:f>
              <c:strCache>
                <c:ptCount val="1"/>
                <c:pt idx="0">
                  <c:v>Boeing 777-300ER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7148957565538011E-3"/>
                  <c:y val="-3.2679578024071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777-300ER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Medie!$K$41</c:f>
              <c:numCache>
                <c:formatCode>#,##0.00\ \l\b\/\f\t\^\2</c:formatCode>
                <c:ptCount val="1"/>
                <c:pt idx="0">
                  <c:v>133.1384892086331</c:v>
                </c:pt>
              </c:numCache>
            </c:numRef>
          </c:xVal>
          <c:yVal>
            <c:numRef>
              <c:f>Medie!$I$41</c:f>
              <c:numCache>
                <c:formatCode>#,##0.00</c:formatCode>
                <c:ptCount val="1"/>
                <c:pt idx="0">
                  <c:v>0.26460190426616348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Medie!$A$26</c:f>
              <c:strCache>
                <c:ptCount val="1"/>
                <c:pt idx="0">
                  <c:v>Ilyushin IL-96-400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0"/>
                  <c:y val="3.86213194829936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Il-96-400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Medie!$K$42</c:f>
              <c:numCache>
                <c:formatCode>#,##0.00\ \l\b\/\f\t\^\2</c:formatCode>
                <c:ptCount val="1"/>
                <c:pt idx="0">
                  <c:v>133.1384892086331</c:v>
                </c:pt>
              </c:numCache>
            </c:numRef>
          </c:xVal>
          <c:yVal>
            <c:numRef>
              <c:f>Medie!$I$42</c:f>
              <c:numCache>
                <c:formatCode>#,##0.00</c:formatCode>
                <c:ptCount val="1"/>
                <c:pt idx="0">
                  <c:v>0.52920380853232696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53120"/>
        <c:axId val="105253696"/>
      </c:scatterChart>
      <c:valAx>
        <c:axId val="105253120"/>
        <c:scaling>
          <c:orientation val="minMax"/>
          <c:min val="120"/>
        </c:scaling>
        <c:delete val="0"/>
        <c:axPos val="b"/>
        <c:numFmt formatCode="#,##0.00" sourceLinked="0"/>
        <c:majorTickMark val="out"/>
        <c:minorTickMark val="none"/>
        <c:tickLblPos val="nextTo"/>
        <c:crossAx val="105253696"/>
        <c:crosses val="autoZero"/>
        <c:crossBetween val="midCat"/>
      </c:valAx>
      <c:valAx>
        <c:axId val="105253696"/>
        <c:scaling>
          <c:orientation val="minMax"/>
          <c:min val="0.2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5253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0711767562067E-2"/>
          <c:y val="0.11627367401855061"/>
          <c:w val="0.92698934065731453"/>
          <c:h val="0.650129877042020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(Medie!$A$21:$A$27,Medie!$A$29:$A$30)</c:f>
              <c:strCache>
                <c:ptCount val="9"/>
                <c:pt idx="0">
                  <c:v>Airbus A330-300</c:v>
                </c:pt>
                <c:pt idx="1">
                  <c:v>Airbus A340-600</c:v>
                </c:pt>
                <c:pt idx="2">
                  <c:v>Airbus A380</c:v>
                </c:pt>
                <c:pt idx="3">
                  <c:v>Boeing 747-400</c:v>
                </c:pt>
                <c:pt idx="4">
                  <c:v>Boeing 777-300ER</c:v>
                </c:pt>
                <c:pt idx="5">
                  <c:v>Ilyushin IL-96-400</c:v>
                </c:pt>
                <c:pt idx="6">
                  <c:v>MD-11ER</c:v>
                </c:pt>
                <c:pt idx="8">
                  <c:v>Medie</c:v>
                </c:pt>
              </c:strCache>
            </c:strRef>
          </c:cat>
          <c:val>
            <c:numRef>
              <c:f>(Medie!$F$21:$F$27,Medie!$F$29:$F$30)</c:f>
              <c:numCache>
                <c:formatCode>0.00</c:formatCode>
                <c:ptCount val="9"/>
                <c:pt idx="0">
                  <c:v>10.06</c:v>
                </c:pt>
                <c:pt idx="1">
                  <c:v>9.3000000000000007</c:v>
                </c:pt>
                <c:pt idx="2">
                  <c:v>7.5</c:v>
                </c:pt>
                <c:pt idx="3">
                  <c:v>7.67</c:v>
                </c:pt>
                <c:pt idx="4">
                  <c:v>8.6999999999999993</c:v>
                </c:pt>
                <c:pt idx="5">
                  <c:v>9.5</c:v>
                </c:pt>
                <c:pt idx="6">
                  <c:v>7.87</c:v>
                </c:pt>
                <c:pt idx="8" formatCode="#,##0.00">
                  <c:v>8.788333333333334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98528"/>
        <c:axId val="105256000"/>
      </c:barChart>
      <c:catAx>
        <c:axId val="10299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256000"/>
        <c:crosses val="autoZero"/>
        <c:auto val="1"/>
        <c:lblAlgn val="ctr"/>
        <c:lblOffset val="100"/>
        <c:noMultiLvlLbl val="0"/>
      </c:catAx>
      <c:valAx>
        <c:axId val="10525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99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6770751293072"/>
          <c:y val="0.1225988058338783"/>
          <c:w val="0.8338031496062992"/>
          <c:h val="0.6610598507838788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(Medie!$A$21:$A$27,Medie!$A$30)</c:f>
              <c:strCache>
                <c:ptCount val="8"/>
                <c:pt idx="0">
                  <c:v>Airbus A330-300</c:v>
                </c:pt>
                <c:pt idx="1">
                  <c:v>Airbus A340-600</c:v>
                </c:pt>
                <c:pt idx="2">
                  <c:v>Airbus A380</c:v>
                </c:pt>
                <c:pt idx="3">
                  <c:v>Boeing 747-400</c:v>
                </c:pt>
                <c:pt idx="4">
                  <c:v>Boeing 777-300ER</c:v>
                </c:pt>
                <c:pt idx="5">
                  <c:v>Ilyushin IL-96-400</c:v>
                </c:pt>
                <c:pt idx="6">
                  <c:v>MD-11ER</c:v>
                </c:pt>
                <c:pt idx="7">
                  <c:v>Medie</c:v>
                </c:pt>
              </c:strCache>
            </c:strRef>
          </c:cat>
          <c:val>
            <c:numRef>
              <c:f>(Medie!$D$21:$D$27,Medie!$D$30)</c:f>
              <c:numCache>
                <c:formatCode>#,##0.00\ \m</c:formatCode>
                <c:ptCount val="8"/>
                <c:pt idx="0">
                  <c:v>60.3</c:v>
                </c:pt>
                <c:pt idx="1">
                  <c:v>60.3</c:v>
                </c:pt>
                <c:pt idx="2">
                  <c:v>60.3</c:v>
                </c:pt>
                <c:pt idx="3">
                  <c:v>60.3</c:v>
                </c:pt>
                <c:pt idx="4">
                  <c:v>60.3</c:v>
                </c:pt>
                <c:pt idx="5">
                  <c:v>60.3</c:v>
                </c:pt>
                <c:pt idx="6">
                  <c:v>60.3</c:v>
                </c:pt>
                <c:pt idx="7">
                  <c:v>60.300000000000004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44160"/>
        <c:axId val="105257728"/>
      </c:barChart>
      <c:catAx>
        <c:axId val="10524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257728"/>
        <c:crosses val="autoZero"/>
        <c:auto val="1"/>
        <c:lblAlgn val="ctr"/>
        <c:lblOffset val="100"/>
        <c:noMultiLvlLbl val="0"/>
      </c:catAx>
      <c:valAx>
        <c:axId val="105257728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0524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2903780786708"/>
          <c:y val="0.17593635608935573"/>
          <c:w val="0.81830093056549802"/>
          <c:h val="0.574356685686409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(Medie!$A$21:$A$27,Medie!$A$30)</c:f>
              <c:strCache>
                <c:ptCount val="8"/>
                <c:pt idx="0">
                  <c:v>Airbus A330-300</c:v>
                </c:pt>
                <c:pt idx="1">
                  <c:v>Airbus A340-600</c:v>
                </c:pt>
                <c:pt idx="2">
                  <c:v>Airbus A380</c:v>
                </c:pt>
                <c:pt idx="3">
                  <c:v>Boeing 747-400</c:v>
                </c:pt>
                <c:pt idx="4">
                  <c:v>Boeing 777-300ER</c:v>
                </c:pt>
                <c:pt idx="5">
                  <c:v>Ilyushin IL-96-400</c:v>
                </c:pt>
                <c:pt idx="6">
                  <c:v>MD-11ER</c:v>
                </c:pt>
                <c:pt idx="7">
                  <c:v>Medie</c:v>
                </c:pt>
              </c:strCache>
            </c:strRef>
          </c:cat>
          <c:val>
            <c:numRef>
              <c:f>(Medie!$B$21:$B$27,Medie!$B$30)</c:f>
              <c:numCache>
                <c:formatCode>#,##0.00\ \m\^\2</c:formatCode>
                <c:ptCount val="8"/>
                <c:pt idx="0">
                  <c:v>361.6</c:v>
                </c:pt>
                <c:pt idx="1">
                  <c:v>361.6</c:v>
                </c:pt>
                <c:pt idx="2">
                  <c:v>361.6</c:v>
                </c:pt>
                <c:pt idx="3">
                  <c:v>361.6</c:v>
                </c:pt>
                <c:pt idx="4">
                  <c:v>361.6</c:v>
                </c:pt>
                <c:pt idx="5">
                  <c:v>361.6</c:v>
                </c:pt>
                <c:pt idx="6">
                  <c:v>361.6</c:v>
                </c:pt>
                <c:pt idx="7">
                  <c:v>361.59999999999997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44672"/>
        <c:axId val="105292352"/>
      </c:barChart>
      <c:catAx>
        <c:axId val="105244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292352"/>
        <c:crosses val="autoZero"/>
        <c:auto val="1"/>
        <c:lblAlgn val="ctr"/>
        <c:lblOffset val="100"/>
        <c:noMultiLvlLbl val="0"/>
      </c:catAx>
      <c:valAx>
        <c:axId val="10529235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0524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3720479355256E-2"/>
          <c:y val="9.5078545868172937E-2"/>
          <c:w val="0.74552718844812471"/>
          <c:h val="0.84364303048929112"/>
        </c:manualLayout>
      </c:layout>
      <c:scatterChart>
        <c:scatterStyle val="lineMarker"/>
        <c:varyColors val="0"/>
        <c:ser>
          <c:idx val="0"/>
          <c:order val="0"/>
          <c:tx>
            <c:v>A330</c:v>
          </c:tx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Geometrie'!$G$21</c:f>
              <c:numCache>
                <c:formatCode>#,##0</c:formatCode>
                <c:ptCount val="1"/>
                <c:pt idx="0">
                  <c:v>269836.875</c:v>
                </c:pt>
              </c:numCache>
            </c:numRef>
          </c:xVal>
          <c:yVal>
            <c:numRef>
              <c:f>'Pesi e Geometrie'!$E$21</c:f>
              <c:numCache>
                <c:formatCode>#,##0</c:formatCode>
                <c:ptCount val="1"/>
                <c:pt idx="0">
                  <c:v>518175</c:v>
                </c:pt>
              </c:numCache>
            </c:numRef>
          </c:yVal>
          <c:smooth val="0"/>
        </c:ser>
        <c:ser>
          <c:idx val="1"/>
          <c:order val="1"/>
          <c:tx>
            <c:v>A340</c:v>
          </c:tx>
          <c:dLbls>
            <c:dLbl>
              <c:idx val="0"/>
              <c:layout>
                <c:manualLayout>
                  <c:x val="-3.6643247688157417E-2"/>
                  <c:y val="-2.838893043326120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Geometrie'!$G$22</c:f>
              <c:numCache>
                <c:formatCode>#,##0</c:formatCode>
                <c:ptCount val="1"/>
                <c:pt idx="0">
                  <c:v>383839.78500000003</c:v>
                </c:pt>
              </c:numCache>
            </c:numRef>
          </c:xVal>
          <c:yVal>
            <c:numRef>
              <c:f>'Pesi e Geometrie'!$E$22</c:f>
              <c:numCache>
                <c:formatCode>#,##0</c:formatCode>
                <c:ptCount val="1"/>
                <c:pt idx="0">
                  <c:v>804825</c:v>
                </c:pt>
              </c:numCache>
            </c:numRef>
          </c:yVal>
          <c:smooth val="0"/>
        </c:ser>
        <c:ser>
          <c:idx val="2"/>
          <c:order val="2"/>
          <c:tx>
            <c:v>A380</c:v>
          </c:tx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Geometrie'!$G$23</c:f>
              <c:numCache>
                <c:formatCode>#,##0</c:formatCode>
                <c:ptCount val="1"/>
                <c:pt idx="0">
                  <c:v>0</c:v>
                </c:pt>
              </c:numCache>
            </c:numRef>
          </c:xVal>
          <c:yVal>
            <c:numRef>
              <c:f>'Pesi e Geometrie'!$E$23</c:f>
              <c:numCache>
                <c:formatCode>#,##0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B747</c:v>
          </c:tx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Geometrie'!$G$24</c:f>
              <c:numCache>
                <c:formatCode>#,##0</c:formatCode>
                <c:ptCount val="1"/>
                <c:pt idx="0">
                  <c:v>0</c:v>
                </c:pt>
              </c:numCache>
            </c:numRef>
          </c:xVal>
          <c:yVal>
            <c:numRef>
              <c:f>'Pesi e Geometrie'!$E$24</c:f>
              <c:numCache>
                <c:formatCode>#,##0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B777</c:v>
          </c:tx>
          <c:dLbls>
            <c:dLbl>
              <c:idx val="0"/>
              <c:layout>
                <c:manualLayout>
                  <c:x val="2.8186003877392713E-3"/>
                  <c:y val="1.514076289773935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Geometrie'!$G$25</c:f>
              <c:numCache>
                <c:formatCode>#,##0</c:formatCode>
                <c:ptCount val="1"/>
                <c:pt idx="0">
                  <c:v>0</c:v>
                </c:pt>
              </c:numCache>
            </c:numRef>
          </c:xVal>
          <c:yVal>
            <c:numRef>
              <c:f>'Pesi e Geometrie'!$E$25</c:f>
              <c:numCache>
                <c:formatCode>#,##0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MD-11</c:v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MD-11ER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Geometrie'!$G$26</c:f>
              <c:numCache>
                <c:formatCode>#,##0</c:formatCode>
                <c:ptCount val="1"/>
                <c:pt idx="0">
                  <c:v>0</c:v>
                </c:pt>
              </c:numCache>
            </c:numRef>
          </c:xVal>
          <c:yVal>
            <c:numRef>
              <c:f>'Pesi e Geometrie'!$E$26</c:f>
              <c:numCache>
                <c:formatCode>#,##0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v>Il-96</c:v>
          </c:tx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Geometrie'!$G$27</c:f>
              <c:numCache>
                <c:formatCode>#,##0</c:formatCode>
                <c:ptCount val="1"/>
                <c:pt idx="0">
                  <c:v>0</c:v>
                </c:pt>
              </c:numCache>
            </c:numRef>
          </c:xVal>
          <c:yVal>
            <c:numRef>
              <c:f>'Pesi e Geometrie'!$E$27</c:f>
              <c:numCache>
                <c:formatCode>#,##0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7"/>
          <c:tx>
            <c:v>Media con A380</c:v>
          </c:tx>
          <c:dLbls>
            <c:dLbl>
              <c:idx val="0"/>
              <c:layout>
                <c:manualLayout>
                  <c:x val="-6.4830361294432218E-2"/>
                  <c:y val="-7.57053047212654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Geometrie'!$G$14</c:f>
              <c:numCache>
                <c:formatCode>#,##0\ \l\b</c:formatCode>
                <c:ptCount val="1"/>
                <c:pt idx="0">
                  <c:v>326488.98678414099</c:v>
                </c:pt>
              </c:numCache>
            </c:numRef>
          </c:xVal>
          <c:yVal>
            <c:numRef>
              <c:f>'Pesi e Geometrie'!$E$14</c:f>
              <c:numCache>
                <c:formatCode>#,##0\ \l\b</c:formatCode>
                <c:ptCount val="1"/>
                <c:pt idx="0">
                  <c:v>660792.95154185023</c:v>
                </c:pt>
              </c:numCache>
            </c:numRef>
          </c:yVal>
          <c:smooth val="0"/>
        </c:ser>
        <c:ser>
          <c:idx val="10"/>
          <c:order val="8"/>
          <c:tx>
            <c:v>Media senza A380</c:v>
          </c:tx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Ref>
              <c:f>'Pesi e Geometrie'!$G$16</c:f>
              <c:numCache>
                <c:formatCode>#,##0\ \l\b</c:formatCode>
                <c:ptCount val="1"/>
                <c:pt idx="0">
                  <c:v>326488.98678414099</c:v>
                </c:pt>
              </c:numCache>
            </c:numRef>
          </c:xVal>
          <c:yVal>
            <c:numRef>
              <c:f>'Pesi e Geometrie'!$E$16</c:f>
              <c:numCache>
                <c:formatCode>#,##0\ \l\b</c:formatCode>
                <c:ptCount val="1"/>
                <c:pt idx="0">
                  <c:v>660792.95154185023</c:v>
                </c:pt>
              </c:numCache>
            </c:numRef>
          </c:yVal>
          <c:smooth val="0"/>
        </c:ser>
        <c:ser>
          <c:idx val="7"/>
          <c:order val="9"/>
          <c:tx>
            <c:v>Statistica con A380</c:v>
          </c:tx>
          <c:xVal>
            <c:numRef>
              <c:f>'Pesi e Geometrie'!$N$31:$O$31</c:f>
              <c:numCache>
                <c:formatCode>General</c:formatCode>
                <c:ptCount val="2"/>
                <c:pt idx="0">
                  <c:v>200000</c:v>
                </c:pt>
                <c:pt idx="1">
                  <c:v>700000</c:v>
                </c:pt>
              </c:numCache>
            </c:numRef>
          </c:xVal>
          <c:yVal>
            <c:numRef>
              <c:f>'Pesi e Geometrie'!$N$33:$O$33</c:f>
              <c:numCache>
                <c:formatCode>General</c:formatCode>
                <c:ptCount val="2"/>
                <c:pt idx="0">
                  <c:v>423606.05441019882</c:v>
                </c:pt>
                <c:pt idx="1">
                  <c:v>1486526.8087775551</c:v>
                </c:pt>
              </c:numCache>
            </c:numRef>
          </c:yVal>
          <c:smooth val="0"/>
        </c:ser>
        <c:ser>
          <c:idx val="8"/>
          <c:order val="10"/>
          <c:tx>
            <c:v>Statistica senza A380</c:v>
          </c:tx>
          <c:xVal>
            <c:numRef>
              <c:f>'Pesi e Geometrie'!$N$36:$O$36</c:f>
              <c:numCache>
                <c:formatCode>General</c:formatCode>
                <c:ptCount val="2"/>
                <c:pt idx="0">
                  <c:v>200000</c:v>
                </c:pt>
                <c:pt idx="1">
                  <c:v>700000</c:v>
                </c:pt>
              </c:numCache>
            </c:numRef>
          </c:xVal>
          <c:yVal>
            <c:numRef>
              <c:f>'Pesi e Geometrie'!$N$38:$O$38</c:f>
              <c:numCache>
                <c:formatCode>General</c:formatCode>
                <c:ptCount val="2"/>
                <c:pt idx="0">
                  <c:v>404261.77375201363</c:v>
                </c:pt>
                <c:pt idx="1">
                  <c:v>1622750.5522153517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94656"/>
        <c:axId val="105295232"/>
      </c:scatterChart>
      <c:valAx>
        <c:axId val="105294656"/>
        <c:scaling>
          <c:logBase val="10"/>
          <c:orientation val="minMax"/>
          <c:max val="700000"/>
          <c:min val="200000"/>
        </c:scaling>
        <c:delete val="0"/>
        <c:axPos val="b"/>
        <c:majorGridlines/>
        <c:minorGridlines/>
        <c:numFmt formatCode="#,##0" sourceLinked="0"/>
        <c:majorTickMark val="out"/>
        <c:minorTickMark val="none"/>
        <c:tickLblPos val="nextTo"/>
        <c:crossAx val="105295232"/>
        <c:crosses val="autoZero"/>
        <c:crossBetween val="midCat"/>
      </c:valAx>
      <c:valAx>
        <c:axId val="105295232"/>
        <c:scaling>
          <c:logBase val="10"/>
          <c:orientation val="minMax"/>
          <c:max val="1500000"/>
          <c:min val="500000"/>
        </c:scaling>
        <c:delete val="0"/>
        <c:axPos val="l"/>
        <c:majorGridlines>
          <c:spPr>
            <a:ln>
              <a:noFill/>
            </a:ln>
          </c:spPr>
        </c:majorGridlines>
        <c:minorGridlines/>
        <c:numFmt formatCode="#,##0" sourceLinked="0"/>
        <c:majorTickMark val="out"/>
        <c:minorTickMark val="none"/>
        <c:tickLblPos val="nextTo"/>
        <c:crossAx val="1052946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85739282589688E-2"/>
          <c:y val="5.1400554097404488E-2"/>
          <c:w val="0.72438035870516182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'Pesi e Geometrie'!$F$31:$F$37</c:f>
              <c:numCache>
                <c:formatCode>General</c:formatCode>
                <c:ptCount val="7"/>
                <c:pt idx="0">
                  <c:v>5.4311012986150509</c:v>
                </c:pt>
                <c:pt idx="1">
                  <c:v>5.5841499873626574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'Pesi e Geometrie'!$E$31:$E$37</c:f>
              <c:numCache>
                <c:formatCode>General</c:formatCode>
                <c:ptCount val="7"/>
                <c:pt idx="0">
                  <c:v>5.7144764560755927</c:v>
                </c:pt>
                <c:pt idx="1">
                  <c:v>5.9057014582603315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97536"/>
        <c:axId val="105298112"/>
      </c:scatterChart>
      <c:valAx>
        <c:axId val="10529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298112"/>
        <c:crosses val="autoZero"/>
        <c:crossBetween val="midCat"/>
      </c:valAx>
      <c:valAx>
        <c:axId val="10529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297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'Pesi e Geometrie'!$F$48:$F$53</c:f>
              <c:numCache>
                <c:formatCode>General</c:formatCode>
                <c:ptCount val="6"/>
                <c:pt idx="0">
                  <c:v>5.4311012986150509</c:v>
                </c:pt>
                <c:pt idx="1">
                  <c:v>5.5841499873626574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'Pesi e Geometrie'!$E$48:$E$53</c:f>
              <c:numCache>
                <c:formatCode>General</c:formatCode>
                <c:ptCount val="6"/>
                <c:pt idx="0">
                  <c:v>5.7144764560755927</c:v>
                </c:pt>
                <c:pt idx="1">
                  <c:v>5.9057014582603315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97696"/>
        <c:axId val="106398272"/>
      </c:scatterChart>
      <c:valAx>
        <c:axId val="10639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398272"/>
        <c:crosses val="autoZero"/>
        <c:crossBetween val="midCat"/>
      </c:valAx>
      <c:valAx>
        <c:axId val="10639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397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374824</xdr:colOff>
      <xdr:row>20</xdr:row>
      <xdr:rowOff>114000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523112</xdr:colOff>
      <xdr:row>0</xdr:row>
      <xdr:rowOff>0</xdr:rowOff>
    </xdr:from>
    <xdr:to>
      <xdr:col>21</xdr:col>
      <xdr:colOff>291353</xdr:colOff>
      <xdr:row>20</xdr:row>
      <xdr:rowOff>114299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426943</xdr:colOff>
      <xdr:row>0</xdr:row>
      <xdr:rowOff>0</xdr:rowOff>
    </xdr:from>
    <xdr:to>
      <xdr:col>32</xdr:col>
      <xdr:colOff>196649</xdr:colOff>
      <xdr:row>20</xdr:row>
      <xdr:rowOff>114000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256719</xdr:colOff>
      <xdr:row>24</xdr:row>
      <xdr:rowOff>4076</xdr:rowOff>
    </xdr:from>
    <xdr:to>
      <xdr:col>27</xdr:col>
      <xdr:colOff>182178</xdr:colOff>
      <xdr:row>46</xdr:row>
      <xdr:rowOff>71876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255697</xdr:colOff>
      <xdr:row>23</xdr:row>
      <xdr:rowOff>179294</xdr:rowOff>
    </xdr:from>
    <xdr:to>
      <xdr:col>18</xdr:col>
      <xdr:colOff>179294</xdr:colOff>
      <xdr:row>46</xdr:row>
      <xdr:rowOff>56030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246529</xdr:colOff>
      <xdr:row>24</xdr:row>
      <xdr:rowOff>56031</xdr:rowOff>
    </xdr:from>
    <xdr:to>
      <xdr:col>9</xdr:col>
      <xdr:colOff>171988</xdr:colOff>
      <xdr:row>46</xdr:row>
      <xdr:rowOff>123831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156881</xdr:colOff>
      <xdr:row>1</xdr:row>
      <xdr:rowOff>44824</xdr:rowOff>
    </xdr:from>
    <xdr:to>
      <xdr:col>16</xdr:col>
      <xdr:colOff>481853</xdr:colOff>
      <xdr:row>2</xdr:row>
      <xdr:rowOff>89647</xdr:rowOff>
    </xdr:to>
    <xdr:sp macro="" textlink="">
      <xdr:nvSpPr>
        <xdr:cNvPr id="6" name="CasellaDiTesto 5"/>
        <xdr:cNvSpPr txBox="1"/>
      </xdr:nvSpPr>
      <xdr:spPr>
        <a:xfrm>
          <a:off x="8628528" y="235324"/>
          <a:ext cx="1535207" cy="2353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Passengers  Vs Range</a:t>
          </a:r>
        </a:p>
        <a:p>
          <a:endParaRPr lang="it-I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13</xdr:row>
      <xdr:rowOff>161925</xdr:rowOff>
    </xdr:from>
    <xdr:to>
      <xdr:col>22</xdr:col>
      <xdr:colOff>513392</xdr:colOff>
      <xdr:row>42</xdr:row>
      <xdr:rowOff>189799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6375" y="2828925"/>
          <a:ext cx="7666667" cy="560952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0.81353</cdr:x>
      <cdr:y>0.90698</cdr:y>
    </cdr:from>
    <cdr:to>
      <cdr:x>0.92409</cdr:x>
      <cdr:y>0.97965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4695825" y="2971800"/>
          <a:ext cx="6381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Km</a:t>
          </a:r>
        </a:p>
      </cdr:txBody>
    </cdr:sp>
  </cdr:relSizeAnchor>
  <cdr:relSizeAnchor xmlns:cdr="http://schemas.openxmlformats.org/drawingml/2006/chartDrawing">
    <cdr:from>
      <cdr:x>0.40419</cdr:x>
      <cdr:y>0.01144</cdr:y>
    </cdr:from>
    <cdr:to>
      <cdr:x>0.60221</cdr:x>
      <cdr:y>0.11609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706517" y="41411"/>
          <a:ext cx="1325957" cy="378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MTOW</a:t>
          </a:r>
          <a:r>
            <a:rPr lang="it-IT" sz="1100" baseline="0"/>
            <a:t> Vs Range</a:t>
          </a:r>
          <a:endParaRPr lang="it-IT" sz="1100"/>
        </a:p>
      </cdr:txBody>
    </cdr:sp>
  </cdr:relSizeAnchor>
  <cdr:relSizeAnchor xmlns:cdr="http://schemas.openxmlformats.org/drawingml/2006/chartDrawing">
    <cdr:from>
      <cdr:x>0.05121</cdr:x>
      <cdr:y>0.08128</cdr:y>
    </cdr:from>
    <cdr:to>
      <cdr:x>0.13867</cdr:x>
      <cdr:y>0.16849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342900" y="294183"/>
          <a:ext cx="585639" cy="315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100"/>
            <a:t>Kg</a:t>
          </a:r>
        </a:p>
      </cdr:txBody>
    </cdr:sp>
  </cdr:relSizeAnchor>
  <cdr:relSizeAnchor xmlns:cdr="http://schemas.openxmlformats.org/drawingml/2006/chartDrawing">
    <cdr:from>
      <cdr:x>0.81353</cdr:x>
      <cdr:y>0.90698</cdr:y>
    </cdr:from>
    <cdr:to>
      <cdr:x>0.92409</cdr:x>
      <cdr:y>0.97965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4695825" y="2971800"/>
          <a:ext cx="6381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Km</a:t>
          </a:r>
        </a:p>
      </cdr:txBody>
    </cdr:sp>
  </cdr:relSizeAnchor>
  <cdr:relSizeAnchor xmlns:cdr="http://schemas.openxmlformats.org/drawingml/2006/chartDrawing">
    <cdr:from>
      <cdr:x>0.40419</cdr:x>
      <cdr:y>0.01144</cdr:y>
    </cdr:from>
    <cdr:to>
      <cdr:x>0.60221</cdr:x>
      <cdr:y>0.11609</cdr:y>
    </cdr:to>
    <cdr:sp macro="" textlink="">
      <cdr:nvSpPr>
        <cdr:cNvPr id="6" name="CasellaDiTesto 2"/>
        <cdr:cNvSpPr txBox="1"/>
      </cdr:nvSpPr>
      <cdr:spPr>
        <a:xfrm xmlns:a="http://schemas.openxmlformats.org/drawingml/2006/main">
          <a:off x="2706517" y="41411"/>
          <a:ext cx="1325957" cy="378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MTOW</a:t>
          </a:r>
          <a:r>
            <a:rPr lang="it-IT" sz="1100" baseline="0"/>
            <a:t> Vs Range</a:t>
          </a:r>
          <a:endParaRPr lang="it-IT" sz="1100"/>
        </a:p>
      </cdr:txBody>
    </cdr:sp>
  </cdr:relSizeAnchor>
  <cdr:relSizeAnchor xmlns:cdr="http://schemas.openxmlformats.org/drawingml/2006/chartDrawing">
    <cdr:from>
      <cdr:x>0.05121</cdr:x>
      <cdr:y>0.08128</cdr:y>
    </cdr:from>
    <cdr:to>
      <cdr:x>0.13867</cdr:x>
      <cdr:y>0.16849</cdr:y>
    </cdr:to>
    <cdr:sp macro="" textlink="">
      <cdr:nvSpPr>
        <cdr:cNvPr id="7" name="CasellaDiTesto 3"/>
        <cdr:cNvSpPr txBox="1"/>
      </cdr:nvSpPr>
      <cdr:spPr>
        <a:xfrm xmlns:a="http://schemas.openxmlformats.org/drawingml/2006/main">
          <a:off x="342900" y="294183"/>
          <a:ext cx="585639" cy="315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100"/>
            <a:t>Kg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0.77894</cdr:x>
      <cdr:y>0.91586</cdr:y>
    </cdr:from>
    <cdr:to>
      <cdr:x>0.88487</cdr:x>
      <cdr:y>0.98288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4956175" y="3594100"/>
          <a:ext cx="673974" cy="263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Km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0.39187</cdr:x>
      <cdr:y>0.03695</cdr:y>
    </cdr:from>
    <cdr:to>
      <cdr:x>0.54282</cdr:x>
      <cdr:y>0.10162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571750" y="152400"/>
          <a:ext cx="9906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T/V Vs W/S</a:t>
          </a:r>
        </a:p>
      </cdr:txBody>
    </cdr:sp>
  </cdr:relSizeAnchor>
  <cdr:relSizeAnchor xmlns:cdr="http://schemas.openxmlformats.org/drawingml/2006/chartDrawing">
    <cdr:from>
      <cdr:x>0.80568</cdr:x>
      <cdr:y>0.92543</cdr:y>
    </cdr:from>
    <cdr:to>
      <cdr:x>0.90583</cdr:x>
      <cdr:y>0.99702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5177318" y="3631377"/>
          <a:ext cx="643564" cy="280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lb/ft^2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0.41685</cdr:x>
      <cdr:y>0.02848</cdr:y>
    </cdr:from>
    <cdr:to>
      <cdr:x>0.63863</cdr:x>
      <cdr:y>0.10759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938960" y="136158"/>
          <a:ext cx="1031616" cy="378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Aspect Ratio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0.40108</cdr:x>
      <cdr:y>0.02353</cdr:y>
    </cdr:from>
    <cdr:to>
      <cdr:x>0.62331</cdr:x>
      <cdr:y>0.09804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563092" y="103909"/>
          <a:ext cx="1420090" cy="3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Wing-Span</a:t>
          </a:r>
        </a:p>
      </cdr:txBody>
    </cdr:sp>
  </cdr:relSizeAnchor>
  <cdr:relSizeAnchor xmlns:cdr="http://schemas.openxmlformats.org/drawingml/2006/chartDrawing">
    <cdr:from>
      <cdr:x>0.07859</cdr:x>
      <cdr:y>0.05098</cdr:y>
    </cdr:from>
    <cdr:to>
      <cdr:x>0.15989</cdr:x>
      <cdr:y>0.11765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502228" y="225137"/>
          <a:ext cx="519546" cy="294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m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0.40456</cdr:x>
      <cdr:y>0.04098</cdr:y>
    </cdr:from>
    <cdr:to>
      <cdr:x>0.64387</cdr:x>
      <cdr:y>0.13525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59181" y="173182"/>
          <a:ext cx="1454728" cy="398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WIng</a:t>
          </a:r>
          <a:r>
            <a:rPr lang="it-IT" sz="1100" baseline="0"/>
            <a:t> Surface</a:t>
          </a:r>
          <a:endParaRPr lang="it-IT" sz="1100"/>
        </a:p>
      </cdr:txBody>
    </cdr:sp>
  </cdr:relSizeAnchor>
  <cdr:relSizeAnchor xmlns:cdr="http://schemas.openxmlformats.org/drawingml/2006/chartDrawing">
    <cdr:from>
      <cdr:x>0.07977</cdr:x>
      <cdr:y>0.09836</cdr:y>
    </cdr:from>
    <cdr:to>
      <cdr:x>0.19373</cdr:x>
      <cdr:y>0.14344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484909" y="415637"/>
          <a:ext cx="692727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m^2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847725</xdr:colOff>
      <xdr:row>29</xdr:row>
      <xdr:rowOff>38099</xdr:rowOff>
    </xdr:from>
    <xdr:to>
      <xdr:col>24</xdr:col>
      <xdr:colOff>723900</xdr:colOff>
      <xdr:row>65</xdr:row>
      <xdr:rowOff>180974</xdr:rowOff>
    </xdr:to>
    <xdr:graphicFrame macro="">
      <xdr:nvGraphicFramePr>
        <xdr:cNvPr id="8" name="Grafico 7" title="Valutazione degli coefficienti statistici a,b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29</xdr:row>
      <xdr:rowOff>4762</xdr:rowOff>
    </xdr:from>
    <xdr:to>
      <xdr:col>11</xdr:col>
      <xdr:colOff>476250</xdr:colOff>
      <xdr:row>43</xdr:row>
      <xdr:rowOff>80962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504825</xdr:colOff>
      <xdr:row>45</xdr:row>
      <xdr:rowOff>166687</xdr:rowOff>
    </xdr:from>
    <xdr:to>
      <xdr:col>11</xdr:col>
      <xdr:colOff>504825</xdr:colOff>
      <xdr:row>60</xdr:row>
      <xdr:rowOff>52387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0.40511</cdr:y>
    </cdr:from>
    <cdr:to>
      <cdr:x>0.06383</cdr:x>
      <cdr:y>0.53432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0" y="2867026"/>
          <a:ext cx="5429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400" b="1"/>
            <a:t>MTOW</a:t>
          </a:r>
        </a:p>
        <a:p xmlns:a="http://schemas.openxmlformats.org/drawingml/2006/main">
          <a:r>
            <a:rPr lang="it-IT" sz="1400" b="1" baseline="0"/>
            <a:t>  </a:t>
          </a:r>
          <a:r>
            <a:rPr lang="it-IT" sz="1400" b="1"/>
            <a:t>[lbs]</a:t>
          </a:r>
        </a:p>
      </cdr:txBody>
    </cdr:sp>
  </cdr:relSizeAnchor>
  <cdr:relSizeAnchor xmlns:cdr="http://schemas.openxmlformats.org/drawingml/2006/chartDrawing">
    <cdr:from>
      <cdr:x>0.43001</cdr:x>
      <cdr:y>0.94616</cdr:y>
    </cdr:from>
    <cdr:to>
      <cdr:x>0.58343</cdr:x>
      <cdr:y>0.99192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657599" y="6696074"/>
          <a:ext cx="1304925" cy="323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400" b="1"/>
            <a:t>BEW</a:t>
          </a:r>
          <a:r>
            <a:rPr lang="it-IT" sz="1400" b="1" baseline="0"/>
            <a:t> </a:t>
          </a:r>
          <a:r>
            <a:rPr lang="it-IT" sz="1400" b="1"/>
            <a:t>[lbs]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tabSelected="1" zoomScale="70" zoomScaleNormal="70" workbookViewId="0">
      <selection activeCell="K14" sqref="K14"/>
    </sheetView>
  </sheetViews>
  <sheetFormatPr defaultColWidth="24" defaultRowHeight="15" x14ac:dyDescent="0.25"/>
  <cols>
    <col min="8" max="8" width="27.85546875" customWidth="1"/>
    <col min="11" max="11" width="30.140625" customWidth="1"/>
    <col min="12" max="12" width="28.28515625" customWidth="1"/>
    <col min="19" max="19" width="14.42578125" style="62" customWidth="1"/>
    <col min="25" max="25" width="24.42578125" customWidth="1"/>
    <col min="26" max="27" width="24" style="72"/>
  </cols>
  <sheetData>
    <row r="1" spans="1:32" ht="15.75" thickBot="1" x14ac:dyDescent="0.3">
      <c r="S1"/>
      <c r="T1" s="62"/>
      <c r="Z1"/>
      <c r="AB1" s="72"/>
    </row>
    <row r="2" spans="1:32" ht="19.5" thickBot="1" x14ac:dyDescent="0.35">
      <c r="A2" s="35" t="s">
        <v>0</v>
      </c>
      <c r="B2" s="2"/>
      <c r="C2" s="7"/>
      <c r="D2" s="8"/>
      <c r="E2" s="96"/>
      <c r="F2" s="99" t="s">
        <v>30</v>
      </c>
      <c r="G2" s="10"/>
      <c r="H2" s="10"/>
      <c r="I2" s="8"/>
      <c r="J2" s="9"/>
      <c r="K2" s="266"/>
      <c r="L2" s="266"/>
      <c r="S2"/>
      <c r="U2" s="62"/>
      <c r="Z2"/>
      <c r="AA2"/>
      <c r="AB2" s="72"/>
      <c r="AC2" s="72"/>
    </row>
    <row r="3" spans="1:32" ht="15.75" thickBot="1" x14ac:dyDescent="0.3">
      <c r="A3" s="111"/>
      <c r="B3" s="58" t="s">
        <v>3</v>
      </c>
      <c r="C3" s="67" t="s">
        <v>32</v>
      </c>
      <c r="D3" s="67" t="s">
        <v>13</v>
      </c>
      <c r="E3" s="69" t="s">
        <v>17</v>
      </c>
      <c r="F3" s="69" t="s">
        <v>17</v>
      </c>
      <c r="G3" s="69" t="s">
        <v>42</v>
      </c>
      <c r="H3" s="69" t="s">
        <v>42</v>
      </c>
      <c r="I3" s="161" t="s">
        <v>18</v>
      </c>
      <c r="J3" s="161" t="s">
        <v>18</v>
      </c>
      <c r="K3" s="161" t="s">
        <v>204</v>
      </c>
      <c r="L3" s="73" t="s">
        <v>205</v>
      </c>
      <c r="M3" s="13" t="s">
        <v>0</v>
      </c>
      <c r="S3"/>
      <c r="U3" s="62"/>
      <c r="Z3"/>
      <c r="AA3"/>
      <c r="AB3" s="72"/>
      <c r="AC3" s="72"/>
    </row>
    <row r="4" spans="1:32" s="3" customFormat="1" ht="15.75" thickBot="1" x14ac:dyDescent="0.3">
      <c r="A4" s="29" t="s">
        <v>10</v>
      </c>
      <c r="B4" s="29">
        <v>440</v>
      </c>
      <c r="C4" s="121">
        <v>235000</v>
      </c>
      <c r="D4" s="123">
        <f t="shared" ref="D4:D11" si="0">C4*2.205</f>
        <v>518175</v>
      </c>
      <c r="E4" s="122">
        <v>125100</v>
      </c>
      <c r="F4" s="123">
        <f t="shared" ref="F4:F11" si="1">E4*2.205</f>
        <v>275845.5</v>
      </c>
      <c r="G4" s="122">
        <f>E4-(93*(2+B4/30))-C4*0.005</f>
        <v>122375</v>
      </c>
      <c r="H4" s="123">
        <f t="shared" ref="H4:H11" si="2">G4*2.205</f>
        <v>269836.875</v>
      </c>
      <c r="I4" s="122">
        <v>173000</v>
      </c>
      <c r="J4" s="124">
        <f>I4*2.205</f>
        <v>381465</v>
      </c>
      <c r="K4" s="122">
        <v>180000</v>
      </c>
      <c r="L4" s="587"/>
      <c r="M4" s="52" t="s">
        <v>10</v>
      </c>
    </row>
    <row r="5" spans="1:32" s="3" customFormat="1" ht="15.75" thickBot="1" x14ac:dyDescent="0.3">
      <c r="A5" s="53" t="s">
        <v>14</v>
      </c>
      <c r="B5" s="30">
        <v>380</v>
      </c>
      <c r="C5" s="121">
        <v>235000</v>
      </c>
      <c r="D5" s="125">
        <f t="shared" ref="D5:D10" si="3">C5*2.205</f>
        <v>518175</v>
      </c>
      <c r="E5" s="122">
        <v>125100</v>
      </c>
      <c r="F5" s="125">
        <f t="shared" ref="F5:F10" si="4">E5*2.205</f>
        <v>275845.5</v>
      </c>
      <c r="G5" s="122">
        <f t="shared" ref="G5:G11" si="5">E5-(93*(2+B5/30))-C5*0.005</f>
        <v>122561</v>
      </c>
      <c r="H5" s="123">
        <f t="shared" si="2"/>
        <v>270247.005</v>
      </c>
      <c r="I5" s="122">
        <v>173000</v>
      </c>
      <c r="J5" s="126">
        <f>I5*2.205</f>
        <v>381465</v>
      </c>
      <c r="K5" s="122">
        <v>180000</v>
      </c>
      <c r="L5" s="588"/>
      <c r="M5" s="54" t="s">
        <v>14</v>
      </c>
    </row>
    <row r="6" spans="1:32" s="3" customFormat="1" ht="15.75" thickBot="1" x14ac:dyDescent="0.3">
      <c r="A6" s="53" t="s">
        <v>7</v>
      </c>
      <c r="B6" s="31">
        <v>853</v>
      </c>
      <c r="C6" s="121">
        <v>235000</v>
      </c>
      <c r="D6" s="125">
        <f t="shared" si="3"/>
        <v>518175</v>
      </c>
      <c r="E6" s="122">
        <v>125100</v>
      </c>
      <c r="F6" s="125">
        <f t="shared" si="4"/>
        <v>275845.5</v>
      </c>
      <c r="G6" s="122">
        <f t="shared" si="5"/>
        <v>121094.7</v>
      </c>
      <c r="H6" s="123">
        <f t="shared" si="2"/>
        <v>267013.81349999999</v>
      </c>
      <c r="I6" s="122">
        <v>173000</v>
      </c>
      <c r="J6" s="126">
        <f>I6*2.205</f>
        <v>381465</v>
      </c>
      <c r="K6" s="122">
        <v>180000</v>
      </c>
      <c r="L6" s="588"/>
      <c r="M6" s="54" t="s">
        <v>7</v>
      </c>
    </row>
    <row r="7" spans="1:32" s="3" customFormat="1" ht="15.75" thickBot="1" x14ac:dyDescent="0.3">
      <c r="A7" s="53" t="s">
        <v>11</v>
      </c>
      <c r="B7" s="30">
        <v>524</v>
      </c>
      <c r="C7" s="121">
        <v>235000</v>
      </c>
      <c r="D7" s="125">
        <f t="shared" si="3"/>
        <v>518175</v>
      </c>
      <c r="E7" s="122">
        <v>125100</v>
      </c>
      <c r="F7" s="125">
        <f t="shared" si="4"/>
        <v>275845.5</v>
      </c>
      <c r="G7" s="122">
        <f t="shared" si="5"/>
        <v>122114.6</v>
      </c>
      <c r="H7" s="123">
        <f t="shared" si="2"/>
        <v>269262.69300000003</v>
      </c>
      <c r="I7" s="122">
        <v>173000</v>
      </c>
      <c r="J7" s="126">
        <f>I7*2.205</f>
        <v>381465</v>
      </c>
      <c r="K7" s="122">
        <v>180000</v>
      </c>
      <c r="L7" s="588"/>
      <c r="M7" s="54" t="s">
        <v>11</v>
      </c>
    </row>
    <row r="8" spans="1:32" s="3" customFormat="1" ht="15.75" thickBot="1" x14ac:dyDescent="0.3">
      <c r="A8" s="53" t="s">
        <v>69</v>
      </c>
      <c r="B8" s="31">
        <v>400</v>
      </c>
      <c r="C8" s="121">
        <v>235000</v>
      </c>
      <c r="D8" s="125">
        <f t="shared" si="3"/>
        <v>518175</v>
      </c>
      <c r="E8" s="122">
        <v>125100</v>
      </c>
      <c r="F8" s="125">
        <f t="shared" si="4"/>
        <v>275845.5</v>
      </c>
      <c r="G8" s="122">
        <f t="shared" si="5"/>
        <v>122499</v>
      </c>
      <c r="H8" s="123">
        <f t="shared" si="2"/>
        <v>270110.29499999998</v>
      </c>
      <c r="I8" s="122">
        <v>173000</v>
      </c>
      <c r="J8" s="126">
        <f>I8*2.205</f>
        <v>381465</v>
      </c>
      <c r="K8" s="122">
        <v>180000</v>
      </c>
      <c r="L8" s="588"/>
      <c r="M8" s="54" t="s">
        <v>2</v>
      </c>
    </row>
    <row r="9" spans="1:32" s="3" customFormat="1" ht="15.75" thickBot="1" x14ac:dyDescent="0.3">
      <c r="A9" s="53" t="s">
        <v>1</v>
      </c>
      <c r="B9" s="31">
        <v>436</v>
      </c>
      <c r="C9" s="121">
        <v>235000</v>
      </c>
      <c r="D9" s="125">
        <f t="shared" si="3"/>
        <v>518175</v>
      </c>
      <c r="E9" s="122">
        <v>125100</v>
      </c>
      <c r="F9" s="125">
        <f t="shared" si="4"/>
        <v>275845.5</v>
      </c>
      <c r="G9" s="122">
        <f t="shared" si="5"/>
        <v>122387.4</v>
      </c>
      <c r="H9" s="123">
        <f t="shared" si="2"/>
        <v>269864.217</v>
      </c>
      <c r="I9" s="122">
        <v>173000</v>
      </c>
      <c r="J9" s="126">
        <f>I9*2.205</f>
        <v>381465</v>
      </c>
      <c r="K9" s="122">
        <v>180000</v>
      </c>
      <c r="L9" s="588"/>
      <c r="M9" s="54" t="s">
        <v>1</v>
      </c>
    </row>
    <row r="10" spans="1:32" s="115" customFormat="1" ht="15.75" thickBot="1" x14ac:dyDescent="0.3">
      <c r="A10" s="30" t="s">
        <v>9</v>
      </c>
      <c r="B10" s="30">
        <v>410</v>
      </c>
      <c r="C10" s="121">
        <v>235000</v>
      </c>
      <c r="D10" s="125">
        <f t="shared" si="3"/>
        <v>518175</v>
      </c>
      <c r="E10" s="122">
        <v>125100</v>
      </c>
      <c r="F10" s="125">
        <f t="shared" si="4"/>
        <v>275845.5</v>
      </c>
      <c r="G10" s="122">
        <f t="shared" si="5"/>
        <v>122468</v>
      </c>
      <c r="H10" s="123">
        <f t="shared" si="2"/>
        <v>270041.94</v>
      </c>
      <c r="I10" s="122">
        <v>173000</v>
      </c>
      <c r="J10" s="126">
        <f>I10*2.205</f>
        <v>381465</v>
      </c>
      <c r="K10" s="122">
        <v>180000</v>
      </c>
      <c r="L10" s="588"/>
      <c r="M10" s="56" t="s">
        <v>9</v>
      </c>
    </row>
    <row r="11" spans="1:32" s="3" customFormat="1" ht="15.75" thickBot="1" x14ac:dyDescent="0.3">
      <c r="A11" s="112" t="s">
        <v>52</v>
      </c>
      <c r="B11" s="156">
        <v>400</v>
      </c>
      <c r="C11" s="121">
        <v>235000</v>
      </c>
      <c r="D11" s="127">
        <f t="shared" si="0"/>
        <v>518175</v>
      </c>
      <c r="E11" s="122">
        <v>125100</v>
      </c>
      <c r="F11" s="127">
        <f t="shared" si="1"/>
        <v>275845.5</v>
      </c>
      <c r="G11" s="122">
        <f t="shared" si="5"/>
        <v>122499</v>
      </c>
      <c r="H11" s="123">
        <f t="shared" si="2"/>
        <v>270110.29499999998</v>
      </c>
      <c r="I11" s="122">
        <v>173000</v>
      </c>
      <c r="J11" s="128">
        <f>I11*2.205</f>
        <v>381465</v>
      </c>
      <c r="K11" s="122">
        <v>180000</v>
      </c>
      <c r="L11" s="589"/>
      <c r="M11" s="114" t="s">
        <v>2</v>
      </c>
    </row>
    <row r="12" spans="1:32" x14ac:dyDescent="0.2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S12"/>
      <c r="U12" s="62"/>
      <c r="Z12"/>
      <c r="AA12"/>
      <c r="AB12" s="1"/>
      <c r="AC12" s="1"/>
      <c r="AD12" s="2"/>
      <c r="AE12" s="2"/>
      <c r="AF12" s="1"/>
    </row>
    <row r="13" spans="1:32" x14ac:dyDescent="0.25">
      <c r="A13" s="1" t="s">
        <v>77</v>
      </c>
      <c r="B13" s="2">
        <f>AVERAGE(B4:B9)</f>
        <v>505.5</v>
      </c>
      <c r="C13" s="42">
        <f>AVERAGE(C4:C9)</f>
        <v>235000</v>
      </c>
      <c r="D13" s="43">
        <f>C13/0.454</f>
        <v>517621.14537444932</v>
      </c>
      <c r="E13" s="42">
        <f>AVERAGE(E4:E9)</f>
        <v>125100</v>
      </c>
      <c r="F13" s="43">
        <f>E13/0.454</f>
        <v>275550.66079295153</v>
      </c>
      <c r="G13" s="42">
        <f>AVERAGE(G4:G9)</f>
        <v>122171.95000000001</v>
      </c>
      <c r="H13" s="43">
        <f>G13/0.454</f>
        <v>269101.2114537445</v>
      </c>
      <c r="I13" s="42">
        <f>AVERAGE(I4:I9)</f>
        <v>173000</v>
      </c>
      <c r="J13" s="43">
        <f>I13/0.454</f>
        <v>381057.26872246695</v>
      </c>
      <c r="K13" s="43"/>
      <c r="L13" s="43"/>
      <c r="S13"/>
      <c r="U13" s="62"/>
      <c r="Z13"/>
      <c r="AA13"/>
      <c r="AB13" s="1"/>
      <c r="AC13" s="1"/>
      <c r="AD13" s="46"/>
      <c r="AE13" s="46"/>
      <c r="AF13" s="1"/>
    </row>
    <row r="14" spans="1:32" x14ac:dyDescent="0.25">
      <c r="A14" s="1"/>
      <c r="B14" s="2"/>
      <c r="D14" s="43"/>
      <c r="F14" s="43"/>
      <c r="H14" s="43"/>
      <c r="J14" s="43"/>
      <c r="Z14" s="1"/>
      <c r="AA14" s="1"/>
      <c r="AB14" s="50"/>
      <c r="AC14" s="50"/>
      <c r="AD14" s="1"/>
    </row>
    <row r="15" spans="1:32" x14ac:dyDescent="0.25">
      <c r="A15" s="5" t="s">
        <v>203</v>
      </c>
      <c r="B15" s="120" t="s">
        <v>70</v>
      </c>
      <c r="V15" s="65"/>
    </row>
    <row r="16" spans="1:32" x14ac:dyDescent="0.25">
      <c r="A16" s="4" t="s">
        <v>24</v>
      </c>
      <c r="V16" s="65"/>
    </row>
    <row r="17" spans="1:30" x14ac:dyDescent="0.25">
      <c r="A17" s="6" t="s">
        <v>25</v>
      </c>
      <c r="V17" s="65"/>
    </row>
    <row r="18" spans="1:30" ht="15.75" thickBot="1" x14ac:dyDescent="0.3">
      <c r="V18" s="65"/>
    </row>
    <row r="19" spans="1:30" s="3" customFormat="1" ht="19.5" thickBot="1" x14ac:dyDescent="0.35">
      <c r="A19" s="11" t="s">
        <v>0</v>
      </c>
      <c r="B19" s="7"/>
      <c r="C19" s="8"/>
      <c r="D19" s="96"/>
      <c r="E19" s="119"/>
      <c r="F19" s="119"/>
      <c r="G19" s="10" t="s">
        <v>4</v>
      </c>
      <c r="H19" s="8"/>
      <c r="I19" s="8"/>
      <c r="J19" s="8"/>
      <c r="K19" s="8"/>
      <c r="L19" s="9"/>
    </row>
    <row r="20" spans="1:30" s="3" customFormat="1" ht="15.75" thickBot="1" x14ac:dyDescent="0.3">
      <c r="A20" s="111"/>
      <c r="B20" s="137" t="s">
        <v>19</v>
      </c>
      <c r="C20" s="137" t="s">
        <v>19</v>
      </c>
      <c r="D20" s="69" t="s">
        <v>20</v>
      </c>
      <c r="E20" s="69" t="s">
        <v>20</v>
      </c>
      <c r="F20" s="69" t="s">
        <v>5</v>
      </c>
      <c r="G20" s="69" t="s">
        <v>41</v>
      </c>
      <c r="H20" s="69" t="s">
        <v>41</v>
      </c>
      <c r="I20" s="161" t="s">
        <v>21</v>
      </c>
      <c r="J20" s="161" t="s">
        <v>21</v>
      </c>
      <c r="K20" s="73" t="s">
        <v>22</v>
      </c>
      <c r="L20" s="73" t="s">
        <v>22</v>
      </c>
      <c r="M20" s="13" t="s">
        <v>0</v>
      </c>
    </row>
    <row r="21" spans="1:30" s="3" customFormat="1" ht="15.75" thickBot="1" x14ac:dyDescent="0.3">
      <c r="A21" s="29" t="s">
        <v>10</v>
      </c>
      <c r="B21" s="132">
        <v>361.6</v>
      </c>
      <c r="C21" s="117">
        <v>3892</v>
      </c>
      <c r="D21" s="129">
        <v>60.3</v>
      </c>
      <c r="E21" s="148">
        <f t="shared" ref="E21:E26" si="6">D21*3.2808</f>
        <v>197.83224000000001</v>
      </c>
      <c r="F21" s="19">
        <v>10.06</v>
      </c>
      <c r="G21" s="129">
        <v>63.69</v>
      </c>
      <c r="H21" s="148">
        <f t="shared" ref="H21:H27" si="7">G21*3.2808</f>
        <v>208.95415199999999</v>
      </c>
      <c r="I21" s="133">
        <v>67.7</v>
      </c>
      <c r="J21" s="117">
        <f t="shared" ref="J21:J27" si="8">I21*10.7639</f>
        <v>728.71603000000005</v>
      </c>
      <c r="K21" s="162">
        <v>52.95</v>
      </c>
      <c r="L21" s="151">
        <f t="shared" ref="L21:L27" si="9">K21*10.7639</f>
        <v>569.94850499999995</v>
      </c>
      <c r="M21" s="52" t="s">
        <v>10</v>
      </c>
    </row>
    <row r="22" spans="1:30" s="3" customFormat="1" ht="15.75" thickBot="1" x14ac:dyDescent="0.3">
      <c r="A22" s="53" t="s">
        <v>14</v>
      </c>
      <c r="B22" s="132">
        <v>361.6</v>
      </c>
      <c r="C22" s="117">
        <v>3892</v>
      </c>
      <c r="D22" s="129">
        <v>60.3</v>
      </c>
      <c r="E22" s="149">
        <f t="shared" si="6"/>
        <v>197.83224000000001</v>
      </c>
      <c r="F22" s="15">
        <v>9.3000000000000007</v>
      </c>
      <c r="G22" s="129">
        <v>63.69</v>
      </c>
      <c r="H22" s="149">
        <f t="shared" si="7"/>
        <v>208.95415199999999</v>
      </c>
      <c r="I22" s="133">
        <v>67.7</v>
      </c>
      <c r="J22" s="159">
        <f t="shared" si="8"/>
        <v>728.71603000000005</v>
      </c>
      <c r="K22" s="162">
        <v>52.95</v>
      </c>
      <c r="L22" s="160">
        <f t="shared" si="9"/>
        <v>569.94850499999995</v>
      </c>
      <c r="M22" s="54" t="s">
        <v>14</v>
      </c>
    </row>
    <row r="23" spans="1:30" s="3" customFormat="1" ht="15.75" thickBot="1" x14ac:dyDescent="0.3">
      <c r="A23" s="53" t="s">
        <v>7</v>
      </c>
      <c r="B23" s="132">
        <v>361.6</v>
      </c>
      <c r="C23" s="117">
        <v>3892</v>
      </c>
      <c r="D23" s="129">
        <v>60.3</v>
      </c>
      <c r="E23" s="149">
        <f t="shared" si="6"/>
        <v>197.83224000000001</v>
      </c>
      <c r="F23" s="15">
        <v>7.5</v>
      </c>
      <c r="G23" s="129">
        <v>63.69</v>
      </c>
      <c r="H23" s="149">
        <f t="shared" si="7"/>
        <v>208.95415199999999</v>
      </c>
      <c r="I23" s="134"/>
      <c r="J23" s="159">
        <f t="shared" si="8"/>
        <v>0</v>
      </c>
      <c r="K23" s="162">
        <v>52.95</v>
      </c>
      <c r="L23" s="160">
        <f t="shared" si="9"/>
        <v>569.94850499999995</v>
      </c>
      <c r="M23" s="54" t="s">
        <v>7</v>
      </c>
    </row>
    <row r="24" spans="1:30" s="3" customFormat="1" ht="15.75" thickBot="1" x14ac:dyDescent="0.3">
      <c r="A24" s="53" t="s">
        <v>11</v>
      </c>
      <c r="B24" s="132">
        <v>361.6</v>
      </c>
      <c r="C24" s="117">
        <v>3892</v>
      </c>
      <c r="D24" s="129">
        <v>60.3</v>
      </c>
      <c r="E24" s="149">
        <f t="shared" si="6"/>
        <v>197.83224000000001</v>
      </c>
      <c r="F24" s="15">
        <v>7.67</v>
      </c>
      <c r="G24" s="129">
        <v>63.69</v>
      </c>
      <c r="H24" s="149">
        <f t="shared" si="7"/>
        <v>208.95415199999999</v>
      </c>
      <c r="I24" s="133">
        <v>67.7</v>
      </c>
      <c r="J24" s="116">
        <f t="shared" si="8"/>
        <v>728.71603000000005</v>
      </c>
      <c r="K24" s="162">
        <v>52.95</v>
      </c>
      <c r="L24" s="152">
        <f t="shared" si="9"/>
        <v>569.94850499999995</v>
      </c>
      <c r="M24" s="54" t="s">
        <v>11</v>
      </c>
    </row>
    <row r="25" spans="1:30" s="3" customFormat="1" ht="15.75" thickBot="1" x14ac:dyDescent="0.3">
      <c r="A25" s="53" t="s">
        <v>2</v>
      </c>
      <c r="B25" s="132">
        <v>361.6</v>
      </c>
      <c r="C25" s="117">
        <v>3892</v>
      </c>
      <c r="D25" s="129">
        <v>60.3</v>
      </c>
      <c r="E25" s="149">
        <f t="shared" si="6"/>
        <v>197.83224000000001</v>
      </c>
      <c r="F25" s="15">
        <v>8.6999999999999993</v>
      </c>
      <c r="G25" s="129">
        <v>63.69</v>
      </c>
      <c r="H25" s="149">
        <f t="shared" si="7"/>
        <v>208.95415199999999</v>
      </c>
      <c r="I25" s="133">
        <v>67.7</v>
      </c>
      <c r="J25" s="116">
        <f t="shared" si="8"/>
        <v>728.71603000000005</v>
      </c>
      <c r="K25" s="162">
        <v>52.95</v>
      </c>
      <c r="L25" s="152">
        <f t="shared" si="9"/>
        <v>569.94850499999995</v>
      </c>
      <c r="M25" s="54" t="s">
        <v>2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</row>
    <row r="26" spans="1:30" s="3" customFormat="1" ht="15.75" thickBot="1" x14ac:dyDescent="0.3">
      <c r="A26" s="53" t="s">
        <v>1</v>
      </c>
      <c r="B26" s="132">
        <v>361.6</v>
      </c>
      <c r="C26" s="117">
        <v>3892</v>
      </c>
      <c r="D26" s="129">
        <v>60.3</v>
      </c>
      <c r="E26" s="149">
        <f t="shared" si="6"/>
        <v>197.83224000000001</v>
      </c>
      <c r="F26" s="15">
        <v>9.5</v>
      </c>
      <c r="G26" s="129">
        <v>63.69</v>
      </c>
      <c r="H26" s="149">
        <f t="shared" si="7"/>
        <v>208.95415199999999</v>
      </c>
      <c r="I26" s="133">
        <v>67.7</v>
      </c>
      <c r="J26" s="116">
        <f t="shared" si="8"/>
        <v>728.71603000000005</v>
      </c>
      <c r="K26" s="162">
        <v>52.95</v>
      </c>
      <c r="L26" s="152">
        <f t="shared" si="9"/>
        <v>569.94850499999995</v>
      </c>
      <c r="M26" s="54" t="s">
        <v>1</v>
      </c>
    </row>
    <row r="27" spans="1:30" s="115" customFormat="1" ht="15.75" thickBot="1" x14ac:dyDescent="0.3">
      <c r="A27" s="30" t="s">
        <v>9</v>
      </c>
      <c r="B27" s="132">
        <v>361.6</v>
      </c>
      <c r="C27" s="117">
        <v>3892</v>
      </c>
      <c r="D27" s="129">
        <v>60.3</v>
      </c>
      <c r="E27" s="149">
        <f>D27*3.2808</f>
        <v>197.83224000000001</v>
      </c>
      <c r="F27" s="15">
        <v>7.87</v>
      </c>
      <c r="G27" s="129">
        <v>63.69</v>
      </c>
      <c r="H27" s="149">
        <f t="shared" si="7"/>
        <v>208.95415199999999</v>
      </c>
      <c r="I27" s="133">
        <v>67.7</v>
      </c>
      <c r="J27" s="116">
        <f t="shared" si="8"/>
        <v>728.71603000000005</v>
      </c>
      <c r="K27" s="162">
        <v>52.95</v>
      </c>
      <c r="L27" s="152">
        <f t="shared" si="9"/>
        <v>569.94850499999995</v>
      </c>
      <c r="M27" s="56" t="s">
        <v>9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3" customFormat="1" ht="15.75" thickBot="1" x14ac:dyDescent="0.3">
      <c r="A28" s="112" t="s">
        <v>52</v>
      </c>
      <c r="B28" s="132">
        <v>361.6</v>
      </c>
      <c r="C28" s="117">
        <v>3892</v>
      </c>
      <c r="D28" s="129">
        <v>60.3</v>
      </c>
      <c r="E28" s="150">
        <f t="shared" ref="E28" si="10">D28*3.2808</f>
        <v>197.83224000000001</v>
      </c>
      <c r="F28" s="104">
        <v>8.6999999999999993</v>
      </c>
      <c r="G28" s="129">
        <v>63.69</v>
      </c>
      <c r="H28" s="150">
        <f t="shared" ref="H28" si="11">G28*3.2808</f>
        <v>208.95415199999999</v>
      </c>
      <c r="I28" s="133">
        <v>67.7</v>
      </c>
      <c r="J28" s="118">
        <f t="shared" ref="J28" si="12">I28*10.7639</f>
        <v>728.71603000000005</v>
      </c>
      <c r="K28" s="162">
        <v>52.95</v>
      </c>
      <c r="L28" s="153">
        <f t="shared" ref="L28" si="13">K28*10.7639</f>
        <v>569.94850499999995</v>
      </c>
      <c r="M28" s="114" t="s">
        <v>2</v>
      </c>
    </row>
    <row r="29" spans="1:30" x14ac:dyDescent="0.25">
      <c r="A29" s="1"/>
      <c r="B29" s="1"/>
      <c r="D29" s="1"/>
      <c r="F29" s="1"/>
      <c r="G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1"/>
      <c r="U29" s="1"/>
      <c r="V29" s="1"/>
      <c r="W29" s="1"/>
      <c r="X29" s="2"/>
      <c r="Y29" s="2"/>
      <c r="Z29" s="1"/>
      <c r="AA29" s="1"/>
      <c r="AB29" s="2"/>
      <c r="AC29" s="2"/>
      <c r="AD29" s="1"/>
    </row>
    <row r="30" spans="1:30" x14ac:dyDescent="0.25">
      <c r="A30" s="1" t="s">
        <v>77</v>
      </c>
      <c r="B30" s="45">
        <f>AVERAGE(B21:B26)</f>
        <v>361.59999999999997</v>
      </c>
      <c r="C30" s="49">
        <f>B30*10.7639</f>
        <v>3892.2262399999995</v>
      </c>
      <c r="D30" s="46">
        <f>AVERAGE(D21:D26)</f>
        <v>60.300000000000004</v>
      </c>
      <c r="E30" s="50">
        <f>D30*3.2808</f>
        <v>197.83224000000001</v>
      </c>
      <c r="F30" s="44">
        <f>AVERAGE(F21:F26)</f>
        <v>8.788333333333334</v>
      </c>
      <c r="G30" s="46">
        <f>AVERAGE(G21:G26)</f>
        <v>63.69</v>
      </c>
      <c r="H30" s="50">
        <f>G30*3.2808</f>
        <v>208.95415199999999</v>
      </c>
      <c r="I30" s="45">
        <f>AVERAGE(I21:I26)</f>
        <v>67.7</v>
      </c>
      <c r="J30" s="49">
        <f>I30*10.7639</f>
        <v>728.71603000000005</v>
      </c>
      <c r="K30" s="45">
        <f>AVERAGE(K21:K26)</f>
        <v>52.949999999999996</v>
      </c>
      <c r="L30" s="49">
        <f>K30*10.7639</f>
        <v>569.94850499999995</v>
      </c>
      <c r="M30" s="1"/>
      <c r="N30" s="1"/>
      <c r="O30" s="1"/>
      <c r="P30" s="1"/>
      <c r="Q30" s="1"/>
      <c r="R30" s="2"/>
      <c r="S30" s="2"/>
      <c r="T30" s="1"/>
      <c r="U30" s="1"/>
      <c r="V30" s="1"/>
      <c r="W30" s="1"/>
      <c r="X30" s="2"/>
      <c r="Y30" s="2"/>
      <c r="Z30" s="1"/>
      <c r="AA30" s="1"/>
      <c r="AB30" s="2"/>
      <c r="AC30" s="2"/>
      <c r="AD30" s="1"/>
    </row>
    <row r="31" spans="1:30" x14ac:dyDescent="0.25">
      <c r="A31" s="1"/>
      <c r="F31" s="50"/>
      <c r="L31" s="1"/>
      <c r="M31" s="1"/>
      <c r="N31" s="1"/>
      <c r="O31" s="1"/>
      <c r="P31" s="1"/>
      <c r="Q31" s="1"/>
      <c r="R31" s="2"/>
      <c r="S31" s="2"/>
      <c r="T31" s="1"/>
      <c r="U31" s="1"/>
      <c r="V31" s="1"/>
      <c r="W31" s="1"/>
      <c r="X31" s="2"/>
      <c r="Y31" s="2"/>
      <c r="Z31" s="1"/>
      <c r="AA31" s="1"/>
      <c r="AB31" s="2"/>
      <c r="AC31" s="2"/>
      <c r="AD31" s="1"/>
    </row>
    <row r="34" spans="1:14" ht="15.75" thickBot="1" x14ac:dyDescent="0.3"/>
    <row r="35" spans="1:14" ht="19.5" thickBot="1" x14ac:dyDescent="0.35">
      <c r="A35" s="11" t="s">
        <v>0</v>
      </c>
      <c r="B35" s="7"/>
      <c r="C35" s="8"/>
      <c r="D35" s="26"/>
      <c r="E35" s="26"/>
      <c r="F35" s="26"/>
      <c r="G35" s="10" t="s">
        <v>31</v>
      </c>
      <c r="H35" s="96"/>
      <c r="I35" s="8"/>
      <c r="J35" s="96"/>
      <c r="K35" s="10"/>
      <c r="L35" s="95"/>
    </row>
    <row r="36" spans="1:14" ht="15.75" thickBot="1" x14ac:dyDescent="0.3">
      <c r="A36" s="111"/>
      <c r="B36" s="67" t="s">
        <v>6</v>
      </c>
      <c r="C36" s="67" t="s">
        <v>6</v>
      </c>
      <c r="D36" s="70" t="s">
        <v>23</v>
      </c>
      <c r="E36" s="70" t="s">
        <v>23</v>
      </c>
      <c r="F36" s="68" t="s">
        <v>44</v>
      </c>
      <c r="G36" s="69" t="s">
        <v>71</v>
      </c>
      <c r="H36" s="69" t="s">
        <v>74</v>
      </c>
      <c r="I36" s="69" t="s">
        <v>43</v>
      </c>
      <c r="J36" s="69" t="s">
        <v>72</v>
      </c>
      <c r="K36" s="66" t="s">
        <v>72</v>
      </c>
      <c r="L36" s="161" t="s">
        <v>38</v>
      </c>
    </row>
    <row r="37" spans="1:14" ht="15.75" thickBot="1" x14ac:dyDescent="0.3">
      <c r="A37" s="29" t="s">
        <v>10</v>
      </c>
      <c r="B37" s="138">
        <v>10830</v>
      </c>
      <c r="C37" s="184">
        <f t="shared" ref="C37:C44" si="14">B37*0.54-0.64</f>
        <v>5847.56</v>
      </c>
      <c r="D37" s="187">
        <v>10668</v>
      </c>
      <c r="E37" s="154">
        <f t="shared" ref="E37:E44" si="15">D37*3.2808</f>
        <v>34999.574400000005</v>
      </c>
      <c r="F37" s="20">
        <v>2</v>
      </c>
      <c r="G37" s="139">
        <v>305</v>
      </c>
      <c r="H37" s="123">
        <f t="shared" ref="H37:H44" si="16">G37*1000/9.81*2.20462262184877</f>
        <v>68543.31291170996</v>
      </c>
      <c r="I37" s="36">
        <f t="shared" ref="I37:I44" si="17">(G37*F37)/C4*1000/9.81</f>
        <v>0.26460190426616348</v>
      </c>
      <c r="J37" s="140">
        <f t="shared" ref="J37:K44" si="18">C4/B21</f>
        <v>649.88938053097343</v>
      </c>
      <c r="K37" s="143">
        <f t="shared" si="18"/>
        <v>133.1384892086331</v>
      </c>
      <c r="L37" s="37">
        <v>0.82</v>
      </c>
    </row>
    <row r="38" spans="1:14" ht="15.75" thickBot="1" x14ac:dyDescent="0.3">
      <c r="A38" s="53" t="s">
        <v>14</v>
      </c>
      <c r="B38" s="138">
        <v>10830</v>
      </c>
      <c r="C38" s="185">
        <f t="shared" ref="C38:C43" si="19">B38*0.54-0.64</f>
        <v>5847.56</v>
      </c>
      <c r="D38" s="188">
        <v>10668</v>
      </c>
      <c r="E38" s="155">
        <f t="shared" ref="E38:E43" si="20">D38*3.2808</f>
        <v>34999.574400000005</v>
      </c>
      <c r="F38" s="18">
        <v>4</v>
      </c>
      <c r="G38" s="139">
        <v>305</v>
      </c>
      <c r="H38" s="125">
        <f t="shared" ref="H38:H43" si="21">G38*1000/9.81*2.20462262184877</f>
        <v>68543.31291170996</v>
      </c>
      <c r="I38" s="39">
        <f t="shared" ref="I38:I43" si="22">(G38*F38)/C5*1000/9.81</f>
        <v>0.52920380853232696</v>
      </c>
      <c r="J38" s="141">
        <f t="shared" ref="J38:K43" si="23">C5/B22</f>
        <v>649.88938053097343</v>
      </c>
      <c r="K38" s="144">
        <f t="shared" si="23"/>
        <v>133.1384892086331</v>
      </c>
      <c r="L38" s="40" t="s">
        <v>16</v>
      </c>
    </row>
    <row r="39" spans="1:14" ht="15.75" thickBot="1" x14ac:dyDescent="0.3">
      <c r="A39" s="53" t="s">
        <v>7</v>
      </c>
      <c r="B39" s="138">
        <v>10830</v>
      </c>
      <c r="C39" s="185">
        <f t="shared" si="19"/>
        <v>5847.56</v>
      </c>
      <c r="D39" s="188">
        <v>10668</v>
      </c>
      <c r="E39" s="155">
        <f t="shared" si="20"/>
        <v>34999.574400000005</v>
      </c>
      <c r="F39" s="18">
        <v>4</v>
      </c>
      <c r="G39" s="139">
        <v>305</v>
      </c>
      <c r="H39" s="125">
        <f t="shared" si="21"/>
        <v>68543.31291170996</v>
      </c>
      <c r="I39" s="39">
        <f t="shared" si="22"/>
        <v>0.52920380853232696</v>
      </c>
      <c r="J39" s="141">
        <f t="shared" si="23"/>
        <v>649.88938053097343</v>
      </c>
      <c r="K39" s="144">
        <f t="shared" si="23"/>
        <v>133.1384892086331</v>
      </c>
      <c r="L39" s="40">
        <v>0.85</v>
      </c>
    </row>
    <row r="40" spans="1:14" ht="15.75" thickBot="1" x14ac:dyDescent="0.3">
      <c r="A40" s="53" t="s">
        <v>11</v>
      </c>
      <c r="B40" s="138">
        <v>10830</v>
      </c>
      <c r="C40" s="185">
        <f t="shared" si="19"/>
        <v>5847.56</v>
      </c>
      <c r="D40" s="188">
        <v>10000</v>
      </c>
      <c r="E40" s="155">
        <f t="shared" si="20"/>
        <v>32808</v>
      </c>
      <c r="F40" s="18">
        <v>4</v>
      </c>
      <c r="G40" s="139">
        <v>305</v>
      </c>
      <c r="H40" s="125">
        <f t="shared" si="21"/>
        <v>68543.31291170996</v>
      </c>
      <c r="I40" s="39">
        <f t="shared" si="22"/>
        <v>0.52920380853232696</v>
      </c>
      <c r="J40" s="141">
        <f t="shared" si="23"/>
        <v>649.88938053097343</v>
      </c>
      <c r="K40" s="144">
        <f t="shared" si="23"/>
        <v>133.1384892086331</v>
      </c>
      <c r="L40" s="40">
        <v>0.85</v>
      </c>
    </row>
    <row r="41" spans="1:14" ht="15.75" thickBot="1" x14ac:dyDescent="0.3">
      <c r="A41" s="53" t="s">
        <v>2</v>
      </c>
      <c r="B41" s="138">
        <v>10830</v>
      </c>
      <c r="C41" s="185">
        <f t="shared" si="19"/>
        <v>5847.56</v>
      </c>
      <c r="D41" s="188">
        <v>10668</v>
      </c>
      <c r="E41" s="155">
        <f t="shared" si="20"/>
        <v>34999.574400000005</v>
      </c>
      <c r="F41" s="18">
        <v>2</v>
      </c>
      <c r="G41" s="139">
        <v>305</v>
      </c>
      <c r="H41" s="125">
        <f t="shared" si="21"/>
        <v>68543.31291170996</v>
      </c>
      <c r="I41" s="39">
        <f>(G41*F41)/C8*1000/9.81</f>
        <v>0.26460190426616348</v>
      </c>
      <c r="J41" s="141">
        <f t="shared" si="23"/>
        <v>649.88938053097343</v>
      </c>
      <c r="K41" s="144">
        <f t="shared" si="23"/>
        <v>133.1384892086331</v>
      </c>
      <c r="L41" s="40">
        <v>0.84</v>
      </c>
    </row>
    <row r="42" spans="1:14" ht="15.75" thickBot="1" x14ac:dyDescent="0.3">
      <c r="A42" s="53" t="s">
        <v>1</v>
      </c>
      <c r="B42" s="138">
        <v>10830</v>
      </c>
      <c r="C42" s="185">
        <f t="shared" si="19"/>
        <v>5847.56</v>
      </c>
      <c r="D42" s="188">
        <v>11100</v>
      </c>
      <c r="E42" s="155">
        <f t="shared" si="20"/>
        <v>36416.880000000005</v>
      </c>
      <c r="F42" s="18">
        <v>4</v>
      </c>
      <c r="G42" s="139">
        <v>305</v>
      </c>
      <c r="H42" s="125">
        <f t="shared" si="21"/>
        <v>68543.31291170996</v>
      </c>
      <c r="I42" s="39">
        <f t="shared" si="22"/>
        <v>0.52920380853232696</v>
      </c>
      <c r="J42" s="141">
        <f t="shared" si="23"/>
        <v>649.88938053097343</v>
      </c>
      <c r="K42" s="144">
        <f t="shared" si="23"/>
        <v>133.1384892086331</v>
      </c>
      <c r="L42" s="40">
        <v>0.75</v>
      </c>
    </row>
    <row r="43" spans="1:14" ht="15.75" thickBot="1" x14ac:dyDescent="0.3">
      <c r="A43" s="30" t="s">
        <v>9</v>
      </c>
      <c r="B43" s="138">
        <v>10830</v>
      </c>
      <c r="C43" s="185">
        <f t="shared" si="19"/>
        <v>5847.56</v>
      </c>
      <c r="D43" s="188">
        <v>9450</v>
      </c>
      <c r="E43" s="155">
        <f t="shared" si="20"/>
        <v>31003.56</v>
      </c>
      <c r="F43" s="18">
        <v>3</v>
      </c>
      <c r="G43" s="139">
        <v>305</v>
      </c>
      <c r="H43" s="125">
        <f t="shared" si="21"/>
        <v>68543.31291170996</v>
      </c>
      <c r="I43" s="39">
        <f t="shared" si="22"/>
        <v>0.39690285639924522</v>
      </c>
      <c r="J43" s="141">
        <f t="shared" si="23"/>
        <v>649.88938053097343</v>
      </c>
      <c r="K43" s="144">
        <f t="shared" si="23"/>
        <v>133.1384892086331</v>
      </c>
      <c r="L43" s="40">
        <v>0.87</v>
      </c>
    </row>
    <row r="44" spans="1:14" ht="15.75" thickBot="1" x14ac:dyDescent="0.3">
      <c r="A44" s="112" t="s">
        <v>52</v>
      </c>
      <c r="B44" s="138">
        <v>10830</v>
      </c>
      <c r="C44" s="186">
        <f t="shared" si="14"/>
        <v>5847.56</v>
      </c>
      <c r="D44" s="189">
        <v>10668</v>
      </c>
      <c r="E44" s="165">
        <f t="shared" si="15"/>
        <v>34999.574400000005</v>
      </c>
      <c r="F44" s="82">
        <v>2</v>
      </c>
      <c r="G44" s="139">
        <v>305</v>
      </c>
      <c r="H44" s="127">
        <f t="shared" si="16"/>
        <v>68543.31291170996</v>
      </c>
      <c r="I44" s="103">
        <f t="shared" si="17"/>
        <v>0.26460190426616348</v>
      </c>
      <c r="J44" s="142">
        <f t="shared" si="18"/>
        <v>649.88938053097343</v>
      </c>
      <c r="K44" s="145">
        <f t="shared" si="18"/>
        <v>133.1384892086331</v>
      </c>
      <c r="L44" s="113">
        <v>0.84</v>
      </c>
    </row>
    <row r="45" spans="1:14" x14ac:dyDescent="0.25">
      <c r="B45" s="1"/>
      <c r="D45" s="2"/>
      <c r="F45" s="2"/>
      <c r="G45" s="1"/>
      <c r="I45" s="1"/>
      <c r="J45" s="147"/>
      <c r="L45" s="1"/>
      <c r="M45" s="2"/>
      <c r="N45" s="2"/>
    </row>
    <row r="46" spans="1:14" x14ac:dyDescent="0.25">
      <c r="A46" t="s">
        <v>77</v>
      </c>
      <c r="B46" s="47">
        <f>AVERAGE(B37:B42)</f>
        <v>10830</v>
      </c>
      <c r="C46" s="51">
        <f>B46*0.53996</f>
        <v>5847.7668000000003</v>
      </c>
      <c r="D46" s="46">
        <f>AVERAGE(D37:D42)</f>
        <v>10628.666666666666</v>
      </c>
      <c r="E46" s="50">
        <f>D46*3.2808</f>
        <v>34870.529600000002</v>
      </c>
      <c r="F46" s="44">
        <f>AVERAGE(F37:F44)</f>
        <v>3.125</v>
      </c>
      <c r="G46" s="48">
        <f>AVERAGE(G37:G42)</f>
        <v>305</v>
      </c>
      <c r="H46" s="43">
        <f>G46*225</f>
        <v>68625</v>
      </c>
      <c r="I46" s="44">
        <f>AVERAGE(I37:I44)</f>
        <v>0.41344047541588047</v>
      </c>
      <c r="J46" s="147">
        <f>C13/B30</f>
        <v>649.88938053097354</v>
      </c>
      <c r="K46" s="146">
        <f>AVERAGE(K37:K42)</f>
        <v>133.1384892086331</v>
      </c>
      <c r="L46" s="44">
        <f>AVERAGE(L37:L42)</f>
        <v>0.82199999999999984</v>
      </c>
    </row>
    <row r="47" spans="1:14" x14ac:dyDescent="0.25">
      <c r="F47" s="2"/>
      <c r="I47" s="43"/>
      <c r="L47" s="44">
        <f>AVERAGE(L38:L43)</f>
        <v>0.83200000000000007</v>
      </c>
    </row>
    <row r="49" spans="1:29" ht="15.75" thickBot="1" x14ac:dyDescent="0.3"/>
    <row r="50" spans="1:29" ht="19.5" thickBot="1" x14ac:dyDescent="0.35">
      <c r="B50" s="268"/>
      <c r="C50" s="96"/>
      <c r="D50" s="96"/>
      <c r="E50" s="96"/>
      <c r="F50" s="99" t="s">
        <v>31</v>
      </c>
      <c r="G50" s="14"/>
      <c r="H50" s="171"/>
      <c r="I50" s="14"/>
      <c r="J50" s="14"/>
      <c r="K50" s="86"/>
      <c r="L50" s="14"/>
      <c r="M50" s="101"/>
    </row>
    <row r="51" spans="1:29" ht="19.5" thickBot="1" x14ac:dyDescent="0.35">
      <c r="A51" s="11" t="s">
        <v>0</v>
      </c>
      <c r="B51" s="314"/>
      <c r="C51" s="315"/>
      <c r="D51" s="316" t="s">
        <v>75</v>
      </c>
      <c r="E51" s="317"/>
      <c r="F51" s="266"/>
      <c r="G51" s="79"/>
      <c r="H51" s="96"/>
      <c r="I51" s="319" t="s">
        <v>76</v>
      </c>
      <c r="J51" s="96"/>
      <c r="K51" s="26"/>
      <c r="L51" s="96"/>
      <c r="M51" s="95"/>
    </row>
    <row r="52" spans="1:29" ht="15.75" thickBot="1" x14ac:dyDescent="0.3">
      <c r="A52" s="157"/>
      <c r="B52" s="167" t="s">
        <v>39</v>
      </c>
      <c r="C52" s="64" t="s">
        <v>39</v>
      </c>
      <c r="D52" s="33" t="s">
        <v>73</v>
      </c>
      <c r="E52" s="33" t="s">
        <v>73</v>
      </c>
      <c r="F52" s="34" t="s">
        <v>45</v>
      </c>
      <c r="G52" s="68" t="s">
        <v>40</v>
      </c>
      <c r="H52" s="70" t="s">
        <v>40</v>
      </c>
      <c r="I52" s="70" t="s">
        <v>110</v>
      </c>
      <c r="J52" s="70" t="s">
        <v>110</v>
      </c>
      <c r="K52" s="70" t="s">
        <v>111</v>
      </c>
      <c r="L52" s="70" t="s">
        <v>111</v>
      </c>
      <c r="M52" s="318" t="s">
        <v>46</v>
      </c>
      <c r="N52" s="13" t="s">
        <v>0</v>
      </c>
      <c r="S52"/>
      <c r="U52" s="62"/>
      <c r="Z52"/>
      <c r="AA52"/>
      <c r="AB52" s="72"/>
      <c r="AC52" s="72"/>
    </row>
    <row r="53" spans="1:29" ht="19.5" thickBot="1" x14ac:dyDescent="0.35">
      <c r="A53" s="29" t="s">
        <v>10</v>
      </c>
      <c r="B53" s="168">
        <v>2515</v>
      </c>
      <c r="C53" s="154">
        <v>8250</v>
      </c>
      <c r="D53" s="175">
        <v>67.3</v>
      </c>
      <c r="E53" s="176">
        <f t="shared" ref="E53:E59" si="24">D53*1.9438</f>
        <v>130.81773999999999</v>
      </c>
      <c r="F53" s="177">
        <v>2.2999999999999998</v>
      </c>
      <c r="G53" s="163">
        <v>1753</v>
      </c>
      <c r="H53" s="154">
        <v>5650</v>
      </c>
      <c r="I53" s="175">
        <v>53</v>
      </c>
      <c r="J53" s="176">
        <v>103.0237580994048</v>
      </c>
      <c r="K53" s="175">
        <v>68.900000000000006</v>
      </c>
      <c r="L53" s="176">
        <v>133.93088552922623</v>
      </c>
      <c r="M53" s="182">
        <v>1.69</v>
      </c>
      <c r="N53" s="52" t="s">
        <v>10</v>
      </c>
      <c r="O53" s="108"/>
      <c r="P53" s="170"/>
      <c r="Q53" s="158"/>
      <c r="R53" s="3"/>
      <c r="S53"/>
      <c r="U53" s="62"/>
      <c r="Z53"/>
      <c r="AA53"/>
      <c r="AB53" s="72"/>
      <c r="AC53" s="72"/>
    </row>
    <row r="54" spans="1:29" ht="15.75" thickBot="1" x14ac:dyDescent="0.3">
      <c r="A54" s="53" t="s">
        <v>14</v>
      </c>
      <c r="B54" s="168">
        <v>2515</v>
      </c>
      <c r="C54" s="154">
        <v>8250</v>
      </c>
      <c r="D54" s="175">
        <v>67.3</v>
      </c>
      <c r="E54" s="178">
        <f t="shared" si="24"/>
        <v>130.81773999999999</v>
      </c>
      <c r="F54" s="179">
        <v>2.2000000000000002</v>
      </c>
      <c r="G54" s="163">
        <v>1753</v>
      </c>
      <c r="H54" s="154">
        <v>5650</v>
      </c>
      <c r="I54" s="175">
        <v>53</v>
      </c>
      <c r="J54" s="176">
        <v>103.0237580994048</v>
      </c>
      <c r="K54" s="175">
        <v>68.900000000000006</v>
      </c>
      <c r="L54" s="176">
        <v>133.93088552922623</v>
      </c>
      <c r="M54" s="182">
        <v>1.69</v>
      </c>
      <c r="N54" s="54" t="s">
        <v>14</v>
      </c>
      <c r="O54" s="108"/>
      <c r="P54" s="166"/>
      <c r="Q54" s="158"/>
      <c r="S54"/>
      <c r="U54" s="62"/>
      <c r="Z54"/>
      <c r="AA54"/>
      <c r="AB54" s="72"/>
      <c r="AC54" s="72"/>
    </row>
    <row r="55" spans="1:29" ht="15.75" thickBot="1" x14ac:dyDescent="0.3">
      <c r="A55" s="53" t="s">
        <v>7</v>
      </c>
      <c r="B55" s="168">
        <v>2515</v>
      </c>
      <c r="C55" s="154">
        <v>8250</v>
      </c>
      <c r="D55" s="175">
        <v>67.3</v>
      </c>
      <c r="E55" s="178">
        <f t="shared" si="24"/>
        <v>130.81773999999999</v>
      </c>
      <c r="F55" s="179">
        <v>2.2999999999999998</v>
      </c>
      <c r="G55" s="163">
        <v>1753</v>
      </c>
      <c r="H55" s="154">
        <v>5650</v>
      </c>
      <c r="I55" s="175">
        <v>53</v>
      </c>
      <c r="J55" s="176">
        <v>103.0237580994048</v>
      </c>
      <c r="K55" s="175">
        <v>68.900000000000006</v>
      </c>
      <c r="L55" s="176">
        <v>133.93088552922623</v>
      </c>
      <c r="M55" s="182">
        <v>1.69</v>
      </c>
      <c r="N55" s="54" t="s">
        <v>7</v>
      </c>
      <c r="O55" s="108"/>
      <c r="P55" s="166"/>
      <c r="Q55" s="158"/>
      <c r="S55"/>
      <c r="U55" s="62"/>
      <c r="Z55"/>
      <c r="AA55"/>
      <c r="AB55" s="72"/>
      <c r="AC55" s="72"/>
    </row>
    <row r="56" spans="1:29" ht="15.75" thickBot="1" x14ac:dyDescent="0.3">
      <c r="A56" s="53" t="s">
        <v>11</v>
      </c>
      <c r="B56" s="168">
        <v>2515</v>
      </c>
      <c r="C56" s="154">
        <v>8250</v>
      </c>
      <c r="D56" s="175">
        <v>67.3</v>
      </c>
      <c r="E56" s="178">
        <f t="shared" si="24"/>
        <v>130.81773999999999</v>
      </c>
      <c r="F56" s="179">
        <v>2</v>
      </c>
      <c r="G56" s="163">
        <v>1753</v>
      </c>
      <c r="H56" s="154">
        <v>5650</v>
      </c>
      <c r="I56" s="175">
        <v>53</v>
      </c>
      <c r="J56" s="176">
        <v>103.0237580994048</v>
      </c>
      <c r="K56" s="175">
        <v>68.900000000000006</v>
      </c>
      <c r="L56" s="176">
        <v>133.93088552922623</v>
      </c>
      <c r="M56" s="182">
        <v>1.69</v>
      </c>
      <c r="N56" s="54" t="s">
        <v>11</v>
      </c>
      <c r="O56" s="108"/>
      <c r="P56" s="166"/>
      <c r="Q56" s="158"/>
      <c r="S56"/>
      <c r="U56" s="62"/>
      <c r="Z56"/>
      <c r="AA56"/>
      <c r="AB56" s="72"/>
      <c r="AC56" s="72"/>
    </row>
    <row r="57" spans="1:29" ht="15.75" thickBot="1" x14ac:dyDescent="0.3">
      <c r="A57" s="53" t="s">
        <v>2</v>
      </c>
      <c r="B57" s="168">
        <v>2515</v>
      </c>
      <c r="C57" s="154">
        <v>8250</v>
      </c>
      <c r="D57" s="175">
        <v>67.3</v>
      </c>
      <c r="E57" s="178">
        <f t="shared" si="24"/>
        <v>130.81773999999999</v>
      </c>
      <c r="F57" s="179">
        <v>2</v>
      </c>
      <c r="G57" s="163">
        <v>1753</v>
      </c>
      <c r="H57" s="154">
        <v>5650</v>
      </c>
      <c r="I57" s="175">
        <v>53</v>
      </c>
      <c r="J57" s="176">
        <v>103.0237580994048</v>
      </c>
      <c r="K57" s="175">
        <v>68.900000000000006</v>
      </c>
      <c r="L57" s="176">
        <v>133.93088552922623</v>
      </c>
      <c r="M57" s="182">
        <v>1.69</v>
      </c>
      <c r="N57" s="54" t="s">
        <v>2</v>
      </c>
      <c r="O57" s="108"/>
      <c r="P57" s="166"/>
      <c r="Q57" s="158"/>
      <c r="S57"/>
      <c r="U57" s="62"/>
      <c r="Z57"/>
      <c r="AA57"/>
      <c r="AB57" s="72"/>
      <c r="AC57" s="72"/>
    </row>
    <row r="58" spans="1:29" ht="15.75" thickBot="1" x14ac:dyDescent="0.3">
      <c r="A58" s="53" t="s">
        <v>1</v>
      </c>
      <c r="B58" s="168">
        <v>2515</v>
      </c>
      <c r="C58" s="154">
        <v>8250</v>
      </c>
      <c r="D58" s="175">
        <v>67.3</v>
      </c>
      <c r="E58" s="178">
        <f t="shared" si="24"/>
        <v>130.81773999999999</v>
      </c>
      <c r="F58" s="179">
        <v>2.2000000000000002</v>
      </c>
      <c r="G58" s="163">
        <v>1753</v>
      </c>
      <c r="H58" s="154">
        <v>5650</v>
      </c>
      <c r="I58" s="175">
        <v>53</v>
      </c>
      <c r="J58" s="176">
        <v>103.0237580994048</v>
      </c>
      <c r="K58" s="175">
        <v>68.900000000000006</v>
      </c>
      <c r="L58" s="176">
        <v>133.93088552922623</v>
      </c>
      <c r="M58" s="182">
        <v>1.69</v>
      </c>
      <c r="N58" s="54" t="s">
        <v>1</v>
      </c>
      <c r="O58" s="108"/>
      <c r="P58" s="166"/>
      <c r="Q58" s="158"/>
      <c r="S58"/>
      <c r="U58" s="62"/>
      <c r="Z58"/>
      <c r="AA58"/>
      <c r="AB58" s="72"/>
      <c r="AC58" s="72"/>
    </row>
    <row r="59" spans="1:29" ht="15.75" thickBot="1" x14ac:dyDescent="0.3">
      <c r="A59" s="30" t="s">
        <v>9</v>
      </c>
      <c r="B59" s="168">
        <v>2515</v>
      </c>
      <c r="C59" s="154">
        <v>8250</v>
      </c>
      <c r="D59" s="175">
        <v>67.3</v>
      </c>
      <c r="E59" s="178">
        <f t="shared" si="24"/>
        <v>130.81773999999999</v>
      </c>
      <c r="F59" s="179">
        <v>2.2000000000000002</v>
      </c>
      <c r="G59" s="163">
        <v>1753</v>
      </c>
      <c r="H59" s="154">
        <v>5650</v>
      </c>
      <c r="I59" s="175">
        <v>53</v>
      </c>
      <c r="J59" s="176">
        <v>103.0237580994048</v>
      </c>
      <c r="K59" s="175">
        <v>68.900000000000006</v>
      </c>
      <c r="L59" s="176">
        <v>133.93088552922623</v>
      </c>
      <c r="M59" s="182">
        <v>1.69</v>
      </c>
      <c r="N59" s="56" t="s">
        <v>9</v>
      </c>
      <c r="O59" s="108"/>
      <c r="P59" s="166"/>
      <c r="Q59" s="158"/>
      <c r="S59"/>
      <c r="U59" s="62"/>
      <c r="Z59"/>
      <c r="AA59"/>
      <c r="AB59" s="72"/>
      <c r="AC59" s="72"/>
    </row>
    <row r="60" spans="1:29" ht="15.75" thickBot="1" x14ac:dyDescent="0.3">
      <c r="A60" s="112" t="s">
        <v>52</v>
      </c>
      <c r="B60" s="168">
        <v>2515</v>
      </c>
      <c r="C60" s="154">
        <v>8250</v>
      </c>
      <c r="D60" s="175">
        <v>67.3</v>
      </c>
      <c r="E60" s="180">
        <f t="shared" ref="E60" si="25">D60*1.9438</f>
        <v>130.81773999999999</v>
      </c>
      <c r="F60" s="181">
        <v>2</v>
      </c>
      <c r="G60" s="163">
        <v>1753</v>
      </c>
      <c r="H60" s="154">
        <v>5650</v>
      </c>
      <c r="I60" s="175">
        <v>53</v>
      </c>
      <c r="J60" s="176">
        <v>103.0237580994048</v>
      </c>
      <c r="K60" s="175">
        <v>68.900000000000006</v>
      </c>
      <c r="L60" s="176">
        <v>133.93088552922623</v>
      </c>
      <c r="M60" s="182">
        <v>1.69</v>
      </c>
      <c r="N60" s="114" t="s">
        <v>2</v>
      </c>
      <c r="O60" s="108"/>
      <c r="P60" s="166"/>
      <c r="Q60" s="158"/>
      <c r="S60"/>
      <c r="U60" s="62"/>
      <c r="Z60"/>
      <c r="AA60"/>
      <c r="AB60" s="72"/>
      <c r="AC60" s="72"/>
    </row>
    <row r="61" spans="1:29" x14ac:dyDescent="0.25">
      <c r="M61" s="108"/>
      <c r="N61" s="166"/>
      <c r="O61" s="158"/>
    </row>
    <row r="62" spans="1:29" x14ac:dyDescent="0.25">
      <c r="A62" t="s">
        <v>77</v>
      </c>
      <c r="B62" s="46">
        <f>AVERAGE(B53:B58)</f>
        <v>2515</v>
      </c>
      <c r="C62" s="50">
        <f>B62*3.2808</f>
        <v>8251.2119999999995</v>
      </c>
      <c r="D62" s="109">
        <f>AVERAGE(D53:D60)</f>
        <v>67.3</v>
      </c>
      <c r="E62" s="110">
        <f>AVERAGE(E53:E60)</f>
        <v>130.81773999999999</v>
      </c>
      <c r="F62" s="44">
        <f t="shared" ref="F62" si="26">AVERAGE(F53:F60)</f>
        <v>2.15</v>
      </c>
      <c r="G62" s="46">
        <f>AVERAGE(G53:G58)</f>
        <v>1753</v>
      </c>
      <c r="H62" s="50">
        <f>G62*3.2808</f>
        <v>5751.2424000000001</v>
      </c>
      <c r="I62" s="172">
        <f>AVERAGE(K53:K60)</f>
        <v>68.899999999999991</v>
      </c>
      <c r="J62" s="174">
        <f t="shared" ref="J62:K62" si="27">AVERAGE(L53:L60)</f>
        <v>133.93088552922623</v>
      </c>
      <c r="K62" s="173">
        <f t="shared" si="27"/>
        <v>1.6899999999999997</v>
      </c>
      <c r="M62" s="108"/>
      <c r="N62" s="166"/>
      <c r="O62" s="158"/>
    </row>
    <row r="63" spans="1:29" x14ac:dyDescent="0.25">
      <c r="M63" s="166"/>
      <c r="N63" s="166"/>
      <c r="O63" s="166"/>
    </row>
  </sheetData>
  <sortState ref="A5:K10">
    <sortCondition ref="A4"/>
  </sortState>
  <pageMargins left="0.70866141732283472" right="0.70866141732283472" top="0.74803149606299213" bottom="0.74803149606299213" header="0.31496062992125984" footer="0.31496062992125984"/>
  <pageSetup paperSize="9" scale="4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Z23" sqref="Z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zoomScaleNormal="100" workbookViewId="0">
      <selection activeCell="H8" sqref="H8"/>
    </sheetView>
  </sheetViews>
  <sheetFormatPr defaultColWidth="18.85546875" defaultRowHeight="15" x14ac:dyDescent="0.25"/>
  <cols>
    <col min="2" max="2" width="7.7109375" customWidth="1"/>
    <col min="3" max="4" width="13.140625" customWidth="1"/>
    <col min="5" max="5" width="12.42578125" customWidth="1"/>
    <col min="6" max="12" width="13.7109375" customWidth="1"/>
    <col min="13" max="13" width="11.85546875" customWidth="1"/>
    <col min="14" max="15" width="13.85546875" customWidth="1"/>
    <col min="16" max="16" width="11.85546875" customWidth="1"/>
    <col min="17" max="17" width="8.7109375" customWidth="1"/>
    <col min="18" max="23" width="13.85546875" customWidth="1"/>
    <col min="24" max="24" width="11.85546875" customWidth="1"/>
    <col min="25" max="25" width="14" customWidth="1"/>
    <col min="26" max="26" width="15.28515625" customWidth="1"/>
    <col min="27" max="27" width="13.28515625" customWidth="1"/>
    <col min="28" max="28" width="12.5703125" customWidth="1"/>
    <col min="29" max="29" width="15.28515625" customWidth="1"/>
    <col min="30" max="30" width="14.140625" customWidth="1"/>
  </cols>
  <sheetData>
    <row r="1" spans="1:30" ht="19.5" thickBot="1" x14ac:dyDescent="0.35">
      <c r="B1" t="s">
        <v>28</v>
      </c>
      <c r="O1" s="557" t="s">
        <v>4</v>
      </c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9"/>
    </row>
    <row r="2" spans="1:30" ht="19.5" thickBot="1" x14ac:dyDescent="0.35">
      <c r="A2" s="35" t="s">
        <v>0</v>
      </c>
      <c r="B2" s="551" t="s">
        <v>157</v>
      </c>
      <c r="C2" s="552"/>
      <c r="D2" s="553"/>
      <c r="E2" s="554" t="s">
        <v>33</v>
      </c>
      <c r="F2" s="555"/>
      <c r="G2" s="555"/>
      <c r="H2" s="555"/>
      <c r="I2" s="555"/>
      <c r="J2" s="555"/>
      <c r="K2" s="555"/>
      <c r="L2" s="555"/>
      <c r="M2" s="555"/>
      <c r="N2" s="556"/>
      <c r="O2" s="554" t="s">
        <v>154</v>
      </c>
      <c r="P2" s="555"/>
      <c r="Q2" s="555"/>
      <c r="R2" s="555"/>
      <c r="S2" s="555"/>
      <c r="T2" s="555"/>
      <c r="U2" s="556"/>
      <c r="V2" s="554" t="s">
        <v>155</v>
      </c>
      <c r="W2" s="555"/>
      <c r="X2" s="555"/>
      <c r="Y2" s="555"/>
      <c r="Z2" s="555"/>
      <c r="AA2" s="556"/>
      <c r="AB2" s="554" t="s">
        <v>156</v>
      </c>
      <c r="AC2" s="555"/>
      <c r="AD2" s="556"/>
    </row>
    <row r="3" spans="1:30" ht="15.75" thickBot="1" x14ac:dyDescent="0.3">
      <c r="A3" s="75"/>
      <c r="B3" s="83" t="s">
        <v>158</v>
      </c>
      <c r="C3" s="24" t="s">
        <v>159</v>
      </c>
      <c r="D3" s="25" t="s">
        <v>160</v>
      </c>
      <c r="E3" s="518" t="s">
        <v>64</v>
      </c>
      <c r="F3" s="199" t="s">
        <v>17</v>
      </c>
      <c r="G3" s="199" t="s">
        <v>42</v>
      </c>
      <c r="H3" s="199" t="s">
        <v>18</v>
      </c>
      <c r="I3" s="199" t="s">
        <v>91</v>
      </c>
      <c r="J3" s="199" t="s">
        <v>67</v>
      </c>
      <c r="K3" s="199" t="s">
        <v>161</v>
      </c>
      <c r="L3" s="199" t="s">
        <v>68</v>
      </c>
      <c r="M3" s="393" t="s">
        <v>134</v>
      </c>
      <c r="N3" s="200" t="s">
        <v>96</v>
      </c>
      <c r="O3" s="491" t="s">
        <v>34</v>
      </c>
      <c r="P3" s="33" t="s">
        <v>35</v>
      </c>
      <c r="Q3" s="33" t="s">
        <v>5</v>
      </c>
      <c r="R3" s="492" t="s">
        <v>150</v>
      </c>
      <c r="S3" s="33" t="s">
        <v>151</v>
      </c>
      <c r="T3" s="33" t="s">
        <v>152</v>
      </c>
      <c r="U3" s="493" t="s">
        <v>153</v>
      </c>
      <c r="V3" s="491" t="s">
        <v>41</v>
      </c>
      <c r="W3" s="404" t="s">
        <v>135</v>
      </c>
      <c r="X3" s="404" t="s">
        <v>136</v>
      </c>
      <c r="Y3" s="404" t="s">
        <v>137</v>
      </c>
      <c r="Z3" s="404" t="s">
        <v>138</v>
      </c>
      <c r="AA3" s="499" t="s">
        <v>139</v>
      </c>
      <c r="AB3" s="235" t="s">
        <v>140</v>
      </c>
      <c r="AC3" s="34" t="s">
        <v>36</v>
      </c>
      <c r="AD3" s="13" t="s">
        <v>37</v>
      </c>
    </row>
    <row r="4" spans="1:30" x14ac:dyDescent="0.25">
      <c r="A4" s="29" t="s">
        <v>10</v>
      </c>
      <c r="B4" s="536">
        <v>440</v>
      </c>
      <c r="C4" s="537">
        <v>335</v>
      </c>
      <c r="D4" s="538">
        <v>295</v>
      </c>
      <c r="E4" s="529">
        <v>235000</v>
      </c>
      <c r="F4" s="202">
        <v>125100</v>
      </c>
      <c r="G4" s="202">
        <f>F4-(93*(2+B4/30))-E4*0.005</f>
        <v>122375</v>
      </c>
      <c r="H4" s="202">
        <v>173000</v>
      </c>
      <c r="I4" s="202">
        <v>187000</v>
      </c>
      <c r="J4" s="190">
        <f t="shared" ref="J4:J7" si="0">K4*0.82</f>
        <v>79974.599999999991</v>
      </c>
      <c r="K4" s="202">
        <v>97530</v>
      </c>
      <c r="L4" s="202">
        <f>H4-F4</f>
        <v>47900</v>
      </c>
      <c r="M4" s="394">
        <f>G4/E4</f>
        <v>0.52074468085106385</v>
      </c>
      <c r="N4" s="231">
        <f t="shared" ref="N4:N11" si="1">H4/E4</f>
        <v>0.7361702127659574</v>
      </c>
      <c r="O4" s="243">
        <v>361.6</v>
      </c>
      <c r="P4" s="129">
        <v>60.3</v>
      </c>
      <c r="Q4" s="19">
        <v>10.06</v>
      </c>
      <c r="R4" s="486">
        <v>30</v>
      </c>
      <c r="S4" s="129">
        <v>12.2</v>
      </c>
      <c r="T4" s="129">
        <v>2.77</v>
      </c>
      <c r="U4" s="517">
        <f t="shared" ref="U4:U6" si="2">T4/S4</f>
        <v>0.22704918032786886</v>
      </c>
      <c r="V4" s="168">
        <v>63.69</v>
      </c>
      <c r="W4" s="397">
        <v>5.64</v>
      </c>
      <c r="X4" s="398">
        <f>V4/W4</f>
        <v>11.292553191489361</v>
      </c>
      <c r="Y4" s="397">
        <v>5.28</v>
      </c>
      <c r="Z4" s="129"/>
      <c r="AA4" s="509"/>
      <c r="AB4" s="508">
        <v>16.829999999999998</v>
      </c>
      <c r="AC4" s="133">
        <v>67.7</v>
      </c>
      <c r="AD4" s="244">
        <v>52.95</v>
      </c>
    </row>
    <row r="5" spans="1:30" x14ac:dyDescent="0.25">
      <c r="A5" s="221" t="s">
        <v>14</v>
      </c>
      <c r="B5" s="522">
        <v>520</v>
      </c>
      <c r="C5" s="102">
        <v>419</v>
      </c>
      <c r="D5" s="496">
        <v>380</v>
      </c>
      <c r="E5" s="530">
        <v>365000</v>
      </c>
      <c r="F5" s="223">
        <v>177700</v>
      </c>
      <c r="G5" s="223">
        <f t="shared" ref="G5:G11" si="3">F5-(93*(2+B5/30))-E5*0.005</f>
        <v>174077</v>
      </c>
      <c r="H5" s="223">
        <v>242000</v>
      </c>
      <c r="I5" s="223">
        <v>256000</v>
      </c>
      <c r="J5" s="190">
        <f t="shared" si="0"/>
        <v>160621.59999999998</v>
      </c>
      <c r="K5" s="223">
        <v>195880</v>
      </c>
      <c r="L5" s="223">
        <f t="shared" ref="L5:L11" si="4">H5-F5</f>
        <v>64300</v>
      </c>
      <c r="M5" s="395">
        <f t="shared" ref="M5:M11" si="5">G5/E5</f>
        <v>0.47692328767123288</v>
      </c>
      <c r="N5" s="232">
        <f t="shared" si="1"/>
        <v>0.66301369863013704</v>
      </c>
      <c r="O5" s="245">
        <v>437</v>
      </c>
      <c r="P5" s="224">
        <v>63.45</v>
      </c>
      <c r="Q5" s="90" t="s">
        <v>15</v>
      </c>
      <c r="R5" s="90">
        <v>30.1</v>
      </c>
      <c r="S5" s="224">
        <v>12.2</v>
      </c>
      <c r="T5" s="224">
        <v>2.5</v>
      </c>
      <c r="U5" s="494">
        <f t="shared" si="2"/>
        <v>0.20491803278688525</v>
      </c>
      <c r="V5" s="510">
        <v>75.36</v>
      </c>
      <c r="W5" s="224">
        <v>5.64</v>
      </c>
      <c r="X5" s="183">
        <f t="shared" ref="X5:X11" si="6">V5/W5</f>
        <v>13.361702127659575</v>
      </c>
      <c r="Y5" s="224">
        <v>5.28</v>
      </c>
      <c r="Z5" s="224"/>
      <c r="AA5" s="511"/>
      <c r="AB5" s="488">
        <v>17.3</v>
      </c>
      <c r="AC5" s="225">
        <v>146.38</v>
      </c>
      <c r="AD5" s="246">
        <v>95.25</v>
      </c>
    </row>
    <row r="6" spans="1:30" x14ac:dyDescent="0.25">
      <c r="A6" s="53" t="s">
        <v>7</v>
      </c>
      <c r="B6" s="269"/>
      <c r="C6" s="18"/>
      <c r="D6" s="270"/>
      <c r="E6" s="531"/>
      <c r="F6" s="190"/>
      <c r="G6" s="190"/>
      <c r="H6" s="190"/>
      <c r="I6" s="190"/>
      <c r="J6" s="190"/>
      <c r="K6" s="190"/>
      <c r="L6" s="190"/>
      <c r="M6" s="231"/>
      <c r="N6" s="233"/>
      <c r="O6" s="27"/>
      <c r="P6" s="130"/>
      <c r="Q6" s="15"/>
      <c r="R6" s="485"/>
      <c r="S6" s="130"/>
      <c r="T6" s="130"/>
      <c r="U6" s="416"/>
      <c r="V6" s="169"/>
      <c r="W6" s="130"/>
      <c r="X6" s="399"/>
      <c r="Y6" s="130"/>
      <c r="Z6" s="130"/>
      <c r="AA6" s="512"/>
      <c r="AB6" s="164"/>
      <c r="AC6" s="134"/>
      <c r="AD6" s="247"/>
    </row>
    <row r="7" spans="1:30" x14ac:dyDescent="0.25">
      <c r="A7" s="221" t="s">
        <v>11</v>
      </c>
      <c r="B7" s="522"/>
      <c r="C7" s="102"/>
      <c r="D7" s="496"/>
      <c r="E7" s="530"/>
      <c r="F7" s="223"/>
      <c r="G7" s="223"/>
      <c r="H7" s="223"/>
      <c r="I7" s="223"/>
      <c r="J7" s="190"/>
      <c r="K7" s="223"/>
      <c r="L7" s="223"/>
      <c r="M7" s="395"/>
      <c r="N7" s="232"/>
      <c r="O7" s="245"/>
      <c r="P7" s="224"/>
      <c r="Q7" s="90"/>
      <c r="R7" s="90"/>
      <c r="S7" s="224"/>
      <c r="T7" s="224"/>
      <c r="U7" s="494"/>
      <c r="V7" s="510"/>
      <c r="W7" s="224"/>
      <c r="X7" s="183"/>
      <c r="Y7" s="224"/>
      <c r="Z7" s="224"/>
      <c r="AA7" s="511"/>
      <c r="AB7" s="488"/>
      <c r="AC7" s="225"/>
      <c r="AD7" s="246"/>
    </row>
    <row r="8" spans="1:30" x14ac:dyDescent="0.25">
      <c r="A8" s="53" t="s">
        <v>2</v>
      </c>
      <c r="B8" s="269"/>
      <c r="C8" s="18"/>
      <c r="D8" s="270"/>
      <c r="E8" s="531"/>
      <c r="F8" s="190"/>
      <c r="G8" s="190"/>
      <c r="H8" s="190"/>
      <c r="I8" s="190"/>
      <c r="J8" s="190"/>
      <c r="K8" s="541"/>
      <c r="L8" s="190"/>
      <c r="M8" s="231"/>
      <c r="N8" s="233"/>
      <c r="O8" s="27"/>
      <c r="P8" s="130"/>
      <c r="Q8" s="15"/>
      <c r="R8" s="15"/>
      <c r="S8" s="130"/>
      <c r="T8" s="130"/>
      <c r="U8" s="416"/>
      <c r="V8" s="169"/>
      <c r="W8" s="130"/>
      <c r="X8" s="399"/>
      <c r="Y8" s="130"/>
      <c r="Z8" s="130"/>
      <c r="AA8" s="512"/>
      <c r="AB8" s="164"/>
      <c r="AC8" s="135"/>
      <c r="AD8" s="248"/>
    </row>
    <row r="9" spans="1:30" x14ac:dyDescent="0.25">
      <c r="A9" s="222" t="s">
        <v>9</v>
      </c>
      <c r="B9" s="522"/>
      <c r="C9" s="102"/>
      <c r="D9" s="496"/>
      <c r="E9" s="530"/>
      <c r="F9" s="223"/>
      <c r="G9" s="223"/>
      <c r="H9" s="223"/>
      <c r="I9" s="226"/>
      <c r="J9" s="190"/>
      <c r="K9" s="223"/>
      <c r="L9" s="223"/>
      <c r="M9" s="395"/>
      <c r="N9" s="232"/>
      <c r="O9" s="245"/>
      <c r="P9" s="224"/>
      <c r="Q9" s="90"/>
      <c r="R9" s="90"/>
      <c r="S9" s="224"/>
      <c r="T9" s="224"/>
      <c r="U9" s="494"/>
      <c r="V9" s="513"/>
      <c r="W9" s="227"/>
      <c r="X9" s="183"/>
      <c r="Y9" s="227"/>
      <c r="Z9" s="227"/>
      <c r="AA9" s="514"/>
      <c r="AB9" s="489"/>
      <c r="AC9" s="228"/>
      <c r="AD9" s="249"/>
    </row>
    <row r="10" spans="1:30" ht="15.75" thickBot="1" x14ac:dyDescent="0.3">
      <c r="A10" s="57" t="s">
        <v>1</v>
      </c>
      <c r="B10" s="269"/>
      <c r="C10" s="18"/>
      <c r="D10" s="270"/>
      <c r="E10" s="531"/>
      <c r="F10" s="190"/>
      <c r="G10" s="190"/>
      <c r="H10" s="190"/>
      <c r="I10" s="190"/>
      <c r="J10" s="190"/>
      <c r="K10" s="190"/>
      <c r="L10" s="190"/>
      <c r="M10" s="231"/>
      <c r="N10" s="233"/>
      <c r="O10" s="27"/>
      <c r="P10" s="130"/>
      <c r="Q10" s="15"/>
      <c r="R10" s="485"/>
      <c r="S10" s="130"/>
      <c r="T10" s="130"/>
      <c r="U10" s="416"/>
      <c r="V10" s="169"/>
      <c r="W10" s="130"/>
      <c r="X10" s="399"/>
      <c r="Y10" s="130"/>
      <c r="Z10" s="130"/>
      <c r="AA10" s="512"/>
      <c r="AB10" s="164"/>
      <c r="AC10" s="135"/>
      <c r="AD10" s="248"/>
    </row>
    <row r="11" spans="1:30" ht="15.75" thickBot="1" x14ac:dyDescent="0.3">
      <c r="A11" s="55" t="s">
        <v>52</v>
      </c>
      <c r="B11" s="533">
        <v>400</v>
      </c>
      <c r="C11" s="534"/>
      <c r="D11" s="535"/>
      <c r="E11" s="532">
        <v>351533</v>
      </c>
      <c r="F11" s="201">
        <v>167829</v>
      </c>
      <c r="G11" s="201">
        <f t="shared" si="3"/>
        <v>164645.33499999999</v>
      </c>
      <c r="H11" s="201">
        <v>237682</v>
      </c>
      <c r="I11" s="201">
        <v>237680</v>
      </c>
      <c r="J11" s="190">
        <f t="shared" ref="J9:J11" si="7">K11*0.82</f>
        <v>0</v>
      </c>
      <c r="K11" s="201"/>
      <c r="L11" s="201">
        <f t="shared" si="4"/>
        <v>69853</v>
      </c>
      <c r="M11" s="396">
        <f t="shared" si="5"/>
        <v>0.46836380937209304</v>
      </c>
      <c r="N11" s="234">
        <f t="shared" si="1"/>
        <v>0.67612997926225993</v>
      </c>
      <c r="O11" s="250">
        <v>427.8</v>
      </c>
      <c r="P11" s="131">
        <v>60.93</v>
      </c>
      <c r="Q11" s="104">
        <v>8.6999999999999993</v>
      </c>
      <c r="R11" s="487">
        <v>31.5</v>
      </c>
      <c r="S11" s="131"/>
      <c r="T11" s="131"/>
      <c r="U11" s="497" t="e">
        <f t="shared" ref="U8:U11" si="8">T11/S11</f>
        <v>#DIV/0!</v>
      </c>
      <c r="V11" s="515">
        <v>73.86</v>
      </c>
      <c r="W11" s="131">
        <v>6.2</v>
      </c>
      <c r="X11" s="400">
        <f t="shared" si="6"/>
        <v>11.912903225806451</v>
      </c>
      <c r="Y11" s="131">
        <v>5.87</v>
      </c>
      <c r="Z11" s="131"/>
      <c r="AA11" s="516"/>
      <c r="AB11" s="490"/>
      <c r="AC11" s="136">
        <v>101.26</v>
      </c>
      <c r="AD11" s="251">
        <v>53.23</v>
      </c>
    </row>
    <row r="12" spans="1:30" x14ac:dyDescent="0.25">
      <c r="A12" s="1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1" t="s">
        <v>26</v>
      </c>
      <c r="B13" s="2">
        <f t="shared" ref="B13:G13" si="9">AVERAGE(B4:B10)</f>
        <v>480</v>
      </c>
      <c r="C13" s="2">
        <f t="shared" si="9"/>
        <v>377</v>
      </c>
      <c r="D13" s="2">
        <f t="shared" si="9"/>
        <v>337.5</v>
      </c>
      <c r="E13" s="539">
        <f t="shared" si="9"/>
        <v>300000</v>
      </c>
      <c r="F13" s="539">
        <f t="shared" si="9"/>
        <v>151400</v>
      </c>
      <c r="G13" s="539">
        <f t="shared" si="9"/>
        <v>148226</v>
      </c>
      <c r="H13" s="539">
        <f t="shared" ref="H13:AD13" si="10">AVERAGE(H4:H10)</f>
        <v>207500</v>
      </c>
      <c r="I13" s="539">
        <f>AVERAGE(I4:I11)</f>
        <v>226893.33333333334</v>
      </c>
      <c r="J13" s="539">
        <f t="shared" si="10"/>
        <v>120298.09999999998</v>
      </c>
      <c r="K13" s="42"/>
      <c r="L13" s="539">
        <f t="shared" si="10"/>
        <v>56100</v>
      </c>
      <c r="M13" s="44">
        <f t="shared" si="10"/>
        <v>0.49883398426114833</v>
      </c>
      <c r="N13" s="42"/>
      <c r="O13" s="45">
        <f t="shared" si="10"/>
        <v>399.3</v>
      </c>
      <c r="P13" s="46">
        <f t="shared" si="10"/>
        <v>61.875</v>
      </c>
      <c r="Q13" s="44">
        <f t="shared" si="10"/>
        <v>10.06</v>
      </c>
      <c r="R13" s="44"/>
      <c r="S13" s="44"/>
      <c r="T13" s="44"/>
      <c r="U13" s="44"/>
      <c r="V13" s="46">
        <f t="shared" si="10"/>
        <v>69.525000000000006</v>
      </c>
      <c r="W13" s="46">
        <f>AVERAGE(W4:W11)</f>
        <v>5.8266666666666671</v>
      </c>
      <c r="X13" s="46">
        <f t="shared" ref="X13:AB13" si="11">AVERAGE(X4:X10)</f>
        <v>12.327127659574469</v>
      </c>
      <c r="Y13" s="46">
        <f>AVERAGE(Y4:Y11)</f>
        <v>5.4766666666666666</v>
      </c>
      <c r="Z13" s="46" t="e">
        <f t="shared" si="11"/>
        <v>#DIV/0!</v>
      </c>
      <c r="AA13" s="46" t="e">
        <f t="shared" si="11"/>
        <v>#DIV/0!</v>
      </c>
      <c r="AB13" s="46">
        <f t="shared" si="11"/>
        <v>17.064999999999998</v>
      </c>
      <c r="AC13" s="45">
        <f t="shared" si="10"/>
        <v>107.03999999999999</v>
      </c>
      <c r="AD13" s="45">
        <f t="shared" si="10"/>
        <v>74.099999999999994</v>
      </c>
    </row>
    <row r="14" spans="1:30" x14ac:dyDescent="0.25">
      <c r="A14" s="1" t="s">
        <v>27</v>
      </c>
      <c r="B14" s="2"/>
      <c r="C14" s="2"/>
      <c r="D14" s="2"/>
      <c r="E14" s="540">
        <f>E13/0.454</f>
        <v>660792.95154185023</v>
      </c>
      <c r="F14" s="540">
        <f t="shared" ref="F14:L14" si="12">F13/0.454</f>
        <v>333480.17621145374</v>
      </c>
      <c r="G14" s="540">
        <f>G13/0.454</f>
        <v>326488.98678414099</v>
      </c>
      <c r="H14" s="540">
        <f t="shared" si="12"/>
        <v>457048.4581497797</v>
      </c>
      <c r="I14" s="540">
        <f>I13/0.454</f>
        <v>499765.05139500735</v>
      </c>
      <c r="J14" s="540">
        <f t="shared" si="12"/>
        <v>264973.78854625544</v>
      </c>
      <c r="K14" s="43"/>
      <c r="L14" s="540">
        <f t="shared" si="12"/>
        <v>123568.28193832599</v>
      </c>
      <c r="M14" s="43"/>
      <c r="N14" s="43"/>
      <c r="O14" s="49">
        <f>O13*10.7639</f>
        <v>4298.0252700000001</v>
      </c>
      <c r="P14" s="50">
        <f>P13*3.2808</f>
        <v>202.99950000000001</v>
      </c>
      <c r="Q14" s="50"/>
      <c r="R14" s="50"/>
      <c r="S14" s="50"/>
      <c r="T14" s="50"/>
      <c r="U14" s="50"/>
      <c r="V14" s="50">
        <f t="shared" ref="V14:AB14" si="13">V13*3.2808</f>
        <v>228.09762000000003</v>
      </c>
      <c r="W14" s="50">
        <f t="shared" si="13"/>
        <v>19.116128000000003</v>
      </c>
      <c r="X14" s="50">
        <f t="shared" si="13"/>
        <v>40.442840425531919</v>
      </c>
      <c r="Y14" s="50">
        <f t="shared" si="13"/>
        <v>17.967848</v>
      </c>
      <c r="Z14" s="50" t="e">
        <f t="shared" si="13"/>
        <v>#DIV/0!</v>
      </c>
      <c r="AA14" s="50" t="e">
        <f t="shared" si="13"/>
        <v>#DIV/0!</v>
      </c>
      <c r="AB14" s="50">
        <f t="shared" si="13"/>
        <v>55.986851999999992</v>
      </c>
      <c r="AC14" s="49">
        <f t="shared" ref="AC14:AD14" si="14">AC13*10.7639</f>
        <v>1152.1678559999998</v>
      </c>
      <c r="AD14" s="49">
        <f t="shared" si="14"/>
        <v>797.60498999999993</v>
      </c>
    </row>
    <row r="15" spans="1:30" x14ac:dyDescent="0.25">
      <c r="A15" s="260" t="s">
        <v>97</v>
      </c>
      <c r="B15" s="226">
        <f>AVERAGE(B7:B10,B4:B5)</f>
        <v>480</v>
      </c>
      <c r="C15" s="226">
        <f>AVERAGE(C7:C10,C4:C5)</f>
        <v>377</v>
      </c>
      <c r="D15" s="226">
        <f>AVERAGE(D7:D10,D4:D5)</f>
        <v>337.5</v>
      </c>
      <c r="E15" s="264">
        <f>AVERAGE(E7:E10,E4:E5)</f>
        <v>300000</v>
      </c>
      <c r="F15" s="264">
        <f t="shared" ref="F15:AD15" si="15">AVERAGE(F7:F10,F4:F5)</f>
        <v>151400</v>
      </c>
      <c r="G15" s="264">
        <f t="shared" si="15"/>
        <v>148226</v>
      </c>
      <c r="H15" s="264">
        <f t="shared" si="15"/>
        <v>207500</v>
      </c>
      <c r="I15" s="264">
        <f t="shared" si="15"/>
        <v>221500</v>
      </c>
      <c r="J15" s="264">
        <f t="shared" si="15"/>
        <v>120298.09999999998</v>
      </c>
      <c r="K15" s="264"/>
      <c r="L15" s="264">
        <f t="shared" si="15"/>
        <v>56100</v>
      </c>
      <c r="M15" s="262">
        <f t="shared" si="15"/>
        <v>0.49883398426114833</v>
      </c>
      <c r="N15" s="226"/>
      <c r="O15" s="262">
        <f t="shared" si="15"/>
        <v>399.3</v>
      </c>
      <c r="P15" s="262">
        <f t="shared" si="15"/>
        <v>61.875</v>
      </c>
      <c r="Q15" s="262">
        <f t="shared" si="15"/>
        <v>10.06</v>
      </c>
      <c r="R15" s="262"/>
      <c r="S15" s="262"/>
      <c r="T15" s="262"/>
      <c r="U15" s="262"/>
      <c r="V15" s="262">
        <f t="shared" si="15"/>
        <v>69.525000000000006</v>
      </c>
      <c r="W15" s="401">
        <f t="shared" si="15"/>
        <v>5.64</v>
      </c>
      <c r="X15" s="401">
        <f t="shared" si="15"/>
        <v>12.327127659574469</v>
      </c>
      <c r="Y15" s="401">
        <f t="shared" si="15"/>
        <v>5.28</v>
      </c>
      <c r="Z15" s="401" t="e">
        <f t="shared" si="15"/>
        <v>#DIV/0!</v>
      </c>
      <c r="AA15" s="401" t="e">
        <f t="shared" si="15"/>
        <v>#DIV/0!</v>
      </c>
      <c r="AB15" s="401">
        <f t="shared" si="15"/>
        <v>17.064999999999998</v>
      </c>
      <c r="AC15" s="262">
        <f t="shared" si="15"/>
        <v>107.03999999999999</v>
      </c>
      <c r="AD15" s="262">
        <f t="shared" si="15"/>
        <v>74.099999999999994</v>
      </c>
    </row>
    <row r="16" spans="1:30" x14ac:dyDescent="0.25">
      <c r="A16" s="260"/>
      <c r="B16" s="230"/>
      <c r="C16" s="230"/>
      <c r="D16" s="230"/>
      <c r="E16" s="265">
        <f>E15/0.454</f>
        <v>660792.95154185023</v>
      </c>
      <c r="F16" s="265">
        <f t="shared" ref="F16:L16" si="16">F15/0.454</f>
        <v>333480.17621145374</v>
      </c>
      <c r="G16" s="265">
        <f t="shared" si="16"/>
        <v>326488.98678414099</v>
      </c>
      <c r="H16" s="265">
        <f t="shared" si="16"/>
        <v>457048.4581497797</v>
      </c>
      <c r="I16" s="265">
        <f t="shared" si="16"/>
        <v>487885.46255506604</v>
      </c>
      <c r="J16" s="265">
        <f t="shared" si="16"/>
        <v>264973.78854625544</v>
      </c>
      <c r="K16" s="265"/>
      <c r="L16" s="265">
        <f t="shared" si="16"/>
        <v>123568.28193832599</v>
      </c>
      <c r="M16" s="265"/>
      <c r="N16" s="263"/>
      <c r="O16" s="260">
        <f>O15*10.7639</f>
        <v>4298.0252700000001</v>
      </c>
      <c r="P16" s="260">
        <f>P15*3.2808</f>
        <v>202.99950000000001</v>
      </c>
      <c r="Q16" s="260"/>
      <c r="R16" s="260"/>
      <c r="S16" s="260"/>
      <c r="T16" s="260"/>
      <c r="U16" s="260"/>
      <c r="V16" s="260">
        <f>V15*3.2808</f>
        <v>228.09762000000003</v>
      </c>
      <c r="W16" s="402">
        <f t="shared" ref="W16:AB16" si="17">W15*3.2808</f>
        <v>18.503712</v>
      </c>
      <c r="X16" s="402">
        <f t="shared" si="17"/>
        <v>40.442840425531919</v>
      </c>
      <c r="Y16" s="402">
        <f t="shared" si="17"/>
        <v>17.322624000000001</v>
      </c>
      <c r="Z16" s="402" t="e">
        <f t="shared" si="17"/>
        <v>#DIV/0!</v>
      </c>
      <c r="AA16" s="402" t="e">
        <f t="shared" si="17"/>
        <v>#DIV/0!</v>
      </c>
      <c r="AB16" s="402">
        <f t="shared" si="17"/>
        <v>55.986851999999992</v>
      </c>
      <c r="AC16" s="260">
        <f>AC15*10.7639</f>
        <v>1152.1678559999998</v>
      </c>
      <c r="AD16" s="260">
        <f>AD15*10.7639</f>
        <v>797.60498999999993</v>
      </c>
    </row>
    <row r="17" spans="1:33" ht="15.75" thickBot="1" x14ac:dyDescent="0.3">
      <c r="A17" s="261"/>
      <c r="S17" s="3"/>
      <c r="T17" s="3"/>
    </row>
    <row r="18" spans="1:33" ht="19.5" thickBot="1" x14ac:dyDescent="0.35">
      <c r="B18" t="s">
        <v>29</v>
      </c>
      <c r="O18" s="557" t="s">
        <v>4</v>
      </c>
      <c r="P18" s="558"/>
      <c r="Q18" s="558"/>
      <c r="R18" s="558"/>
      <c r="S18" s="558"/>
      <c r="T18" s="558"/>
      <c r="U18" s="558"/>
      <c r="V18" s="558"/>
      <c r="W18" s="558"/>
      <c r="X18" s="558"/>
      <c r="Y18" s="558"/>
      <c r="Z18" s="558"/>
      <c r="AA18" s="558"/>
      <c r="AB18" s="558"/>
      <c r="AC18" s="558"/>
      <c r="AD18" s="559"/>
    </row>
    <row r="19" spans="1:33" ht="19.5" thickBot="1" x14ac:dyDescent="0.35">
      <c r="A19" s="35" t="s">
        <v>0</v>
      </c>
      <c r="B19" s="551" t="s">
        <v>157</v>
      </c>
      <c r="C19" s="552"/>
      <c r="D19" s="553"/>
      <c r="E19" s="554" t="s">
        <v>95</v>
      </c>
      <c r="F19" s="555"/>
      <c r="G19" s="555"/>
      <c r="H19" s="555"/>
      <c r="I19" s="555"/>
      <c r="J19" s="555"/>
      <c r="K19" s="555"/>
      <c r="L19" s="555"/>
      <c r="M19" s="555"/>
      <c r="N19" s="556"/>
      <c r="O19" s="554" t="s">
        <v>154</v>
      </c>
      <c r="P19" s="555"/>
      <c r="Q19" s="555"/>
      <c r="R19" s="555"/>
      <c r="S19" s="555"/>
      <c r="T19" s="555"/>
      <c r="U19" s="556"/>
      <c r="V19" s="554" t="s">
        <v>155</v>
      </c>
      <c r="W19" s="555"/>
      <c r="X19" s="555"/>
      <c r="Y19" s="555"/>
      <c r="Z19" s="555"/>
      <c r="AA19" s="556"/>
      <c r="AB19" s="555" t="s">
        <v>156</v>
      </c>
      <c r="AC19" s="555"/>
      <c r="AD19" s="556"/>
    </row>
    <row r="20" spans="1:33" ht="15.75" thickBot="1" x14ac:dyDescent="0.3">
      <c r="A20" s="75"/>
      <c r="B20" s="83" t="s">
        <v>158</v>
      </c>
      <c r="C20" s="24" t="s">
        <v>159</v>
      </c>
      <c r="D20" s="25" t="s">
        <v>160</v>
      </c>
      <c r="E20" s="518" t="s">
        <v>64</v>
      </c>
      <c r="F20" s="199" t="s">
        <v>17</v>
      </c>
      <c r="G20" s="199" t="s">
        <v>42</v>
      </c>
      <c r="H20" s="199" t="s">
        <v>18</v>
      </c>
      <c r="I20" s="199" t="s">
        <v>91</v>
      </c>
      <c r="J20" s="199" t="s">
        <v>67</v>
      </c>
      <c r="K20" s="199" t="s">
        <v>162</v>
      </c>
      <c r="L20" s="199" t="s">
        <v>68</v>
      </c>
      <c r="M20" s="393" t="s">
        <v>134</v>
      </c>
      <c r="N20" s="200" t="s">
        <v>96</v>
      </c>
      <c r="O20" s="491" t="s">
        <v>19</v>
      </c>
      <c r="P20" s="33" t="s">
        <v>20</v>
      </c>
      <c r="Q20" s="33" t="s">
        <v>5</v>
      </c>
      <c r="R20" s="33" t="s">
        <v>150</v>
      </c>
      <c r="S20" s="33" t="s">
        <v>151</v>
      </c>
      <c r="T20" s="33" t="s">
        <v>152</v>
      </c>
      <c r="U20" s="34" t="s">
        <v>153</v>
      </c>
      <c r="V20" s="491" t="s">
        <v>41</v>
      </c>
      <c r="W20" s="403" t="s">
        <v>135</v>
      </c>
      <c r="X20" s="404" t="s">
        <v>136</v>
      </c>
      <c r="Y20" s="404" t="s">
        <v>137</v>
      </c>
      <c r="Z20" s="404" t="s">
        <v>138</v>
      </c>
      <c r="AA20" s="499" t="s">
        <v>139</v>
      </c>
      <c r="AB20" s="235" t="s">
        <v>140</v>
      </c>
      <c r="AC20" s="34" t="s">
        <v>21</v>
      </c>
      <c r="AD20" s="13" t="s">
        <v>22</v>
      </c>
    </row>
    <row r="21" spans="1:33" x14ac:dyDescent="0.25">
      <c r="A21" s="29" t="s">
        <v>10</v>
      </c>
      <c r="B21" s="536">
        <f>B4</f>
        <v>440</v>
      </c>
      <c r="C21" s="537">
        <f t="shared" ref="C21:D21" si="18">C4</f>
        <v>335</v>
      </c>
      <c r="D21" s="538">
        <f t="shared" si="18"/>
        <v>295</v>
      </c>
      <c r="E21" s="529">
        <f t="shared" ref="E21:L27" si="19">E4*2.205</f>
        <v>518175</v>
      </c>
      <c r="F21" s="202">
        <f t="shared" si="19"/>
        <v>275845.5</v>
      </c>
      <c r="G21" s="202">
        <f t="shared" si="19"/>
        <v>269836.875</v>
      </c>
      <c r="H21" s="202">
        <f t="shared" si="19"/>
        <v>381465</v>
      </c>
      <c r="I21" s="202">
        <f t="shared" si="19"/>
        <v>412335</v>
      </c>
      <c r="J21" s="202">
        <f t="shared" si="19"/>
        <v>176343.99299999999</v>
      </c>
      <c r="K21" s="202">
        <v>25760</v>
      </c>
      <c r="L21" s="202">
        <f t="shared" si="19"/>
        <v>105619.5</v>
      </c>
      <c r="M21" s="394">
        <f>M4</f>
        <v>0.52074468085106385</v>
      </c>
      <c r="N21" s="231">
        <f>N4</f>
        <v>0.7361702127659574</v>
      </c>
      <c r="O21" s="238">
        <v>3892</v>
      </c>
      <c r="P21" s="148">
        <f>P4*3.28083989501312</f>
        <v>197.83464566929112</v>
      </c>
      <c r="Q21" s="17">
        <v>10.06</v>
      </c>
      <c r="R21" s="19">
        <f>R4</f>
        <v>30</v>
      </c>
      <c r="S21" s="148">
        <f>S4*3.28083989501312</f>
        <v>40.026246719160063</v>
      </c>
      <c r="T21" s="148">
        <f>T4*3.28083989501312</f>
        <v>9.0879265091863424</v>
      </c>
      <c r="U21" s="495"/>
      <c r="V21" s="500">
        <f>V4*3.28083989501312</f>
        <v>208.95669291338561</v>
      </c>
      <c r="W21" s="405">
        <f t="shared" ref="W21:AB28" si="20">W4*3.28083989501312</f>
        <v>18.503937007873994</v>
      </c>
      <c r="X21" s="36">
        <f>X4</f>
        <v>11.292553191489361</v>
      </c>
      <c r="Y21" s="406">
        <f t="shared" si="20"/>
        <v>17.322834645669275</v>
      </c>
      <c r="Z21" s="148">
        <f t="shared" si="20"/>
        <v>0</v>
      </c>
      <c r="AA21" s="501">
        <f t="shared" si="20"/>
        <v>0</v>
      </c>
      <c r="AB21" s="406">
        <f t="shared" si="20"/>
        <v>55.216535433070803</v>
      </c>
      <c r="AC21" s="117">
        <f>AC4*10.7639104167097</f>
        <v>728.71673521124671</v>
      </c>
      <c r="AD21" s="151">
        <f>AD4*10.7639104167097</f>
        <v>569.94905656477863</v>
      </c>
    </row>
    <row r="22" spans="1:33" s="230" customFormat="1" x14ac:dyDescent="0.25">
      <c r="A22" s="221" t="s">
        <v>14</v>
      </c>
      <c r="B22" s="522">
        <f t="shared" ref="B22:D28" si="21">B5</f>
        <v>520</v>
      </c>
      <c r="C22" s="102">
        <f t="shared" si="21"/>
        <v>419</v>
      </c>
      <c r="D22" s="496">
        <f t="shared" si="21"/>
        <v>380</v>
      </c>
      <c r="E22" s="530">
        <f t="shared" si="19"/>
        <v>804825</v>
      </c>
      <c r="F22" s="223">
        <f t="shared" si="19"/>
        <v>391828.5</v>
      </c>
      <c r="G22" s="223">
        <f t="shared" si="19"/>
        <v>383839.78500000003</v>
      </c>
      <c r="H22" s="223">
        <f t="shared" si="19"/>
        <v>533610</v>
      </c>
      <c r="I22" s="223">
        <f t="shared" ref="I22:L22" si="22">I5*2.205</f>
        <v>564480</v>
      </c>
      <c r="J22" s="223">
        <f t="shared" si="22"/>
        <v>354170.62799999997</v>
      </c>
      <c r="K22" s="223">
        <v>43090</v>
      </c>
      <c r="L22" s="223">
        <f t="shared" si="22"/>
        <v>141781.5</v>
      </c>
      <c r="M22" s="395">
        <f t="shared" ref="M22:M28" si="23">M5</f>
        <v>0.47692328767123288</v>
      </c>
      <c r="N22" s="232">
        <f t="shared" ref="N22:N28" si="24">N5</f>
        <v>0.66301369863013704</v>
      </c>
      <c r="O22" s="239">
        <v>4703.8</v>
      </c>
      <c r="P22" s="237">
        <f t="shared" ref="P22:P28" si="25">P5*3.28083989501312</f>
        <v>208.16929133858247</v>
      </c>
      <c r="Q22" s="102" t="s">
        <v>15</v>
      </c>
      <c r="R22" s="90">
        <f t="shared" ref="R22:R28" si="26">R5</f>
        <v>30.1</v>
      </c>
      <c r="S22" s="237">
        <f t="shared" ref="S22:T28" si="27">S5*3.28083989501312</f>
        <v>40.026246719160063</v>
      </c>
      <c r="T22" s="237">
        <f t="shared" si="27"/>
        <v>8.2020997375327998</v>
      </c>
      <c r="U22" s="496"/>
      <c r="V22" s="502">
        <f t="shared" ref="V22:V28" si="28">V5*3.28083989501312</f>
        <v>247.24409448818872</v>
      </c>
      <c r="W22" s="407">
        <f t="shared" si="20"/>
        <v>18.503937007873994</v>
      </c>
      <c r="X22" s="84">
        <f t="shared" ref="X22:X28" si="29">X5</f>
        <v>13.361702127659575</v>
      </c>
      <c r="Y22" s="408">
        <f t="shared" si="20"/>
        <v>17.322834645669275</v>
      </c>
      <c r="Z22" s="237">
        <f t="shared" si="20"/>
        <v>0</v>
      </c>
      <c r="AA22" s="503">
        <f t="shared" si="20"/>
        <v>0</v>
      </c>
      <c r="AB22" s="408">
        <f t="shared" si="20"/>
        <v>56.758530183726975</v>
      </c>
      <c r="AC22" s="236">
        <f t="shared" ref="AC22:AD27" si="30">AC5*10.7639104167097</f>
        <v>1575.6212067979659</v>
      </c>
      <c r="AD22" s="240">
        <f t="shared" si="30"/>
        <v>1025.2624671915989</v>
      </c>
      <c r="AE22" s="107"/>
      <c r="AF22" s="107"/>
      <c r="AG22" s="107"/>
    </row>
    <row r="23" spans="1:33" x14ac:dyDescent="0.25">
      <c r="A23" s="53" t="s">
        <v>7</v>
      </c>
      <c r="B23" s="520">
        <f t="shared" si="21"/>
        <v>0</v>
      </c>
      <c r="C23" s="519">
        <f t="shared" si="21"/>
        <v>0</v>
      </c>
      <c r="D23" s="521">
        <f t="shared" si="21"/>
        <v>0</v>
      </c>
      <c r="E23" s="531">
        <f t="shared" si="19"/>
        <v>0</v>
      </c>
      <c r="F23" s="190">
        <f t="shared" si="19"/>
        <v>0</v>
      </c>
      <c r="G23" s="190">
        <f t="shared" si="19"/>
        <v>0</v>
      </c>
      <c r="H23" s="190">
        <f t="shared" si="19"/>
        <v>0</v>
      </c>
      <c r="I23" s="190">
        <f t="shared" ref="I23:L23" si="31">I6*2.205</f>
        <v>0</v>
      </c>
      <c r="J23" s="190">
        <f t="shared" si="31"/>
        <v>0</v>
      </c>
      <c r="K23" s="190">
        <v>84600</v>
      </c>
      <c r="L23" s="190">
        <f t="shared" si="31"/>
        <v>0</v>
      </c>
      <c r="M23" s="231">
        <f t="shared" si="23"/>
        <v>0</v>
      </c>
      <c r="N23" s="233">
        <f t="shared" si="24"/>
        <v>0</v>
      </c>
      <c r="O23" s="241">
        <v>9095.5</v>
      </c>
      <c r="P23" s="149">
        <f t="shared" si="25"/>
        <v>0</v>
      </c>
      <c r="Q23" s="15">
        <v>7.5</v>
      </c>
      <c r="R23" s="15">
        <f t="shared" si="26"/>
        <v>0</v>
      </c>
      <c r="S23" s="149">
        <f t="shared" si="27"/>
        <v>0</v>
      </c>
      <c r="T23" s="149">
        <f t="shared" si="27"/>
        <v>0</v>
      </c>
      <c r="U23" s="416"/>
      <c r="V23" s="504">
        <f t="shared" si="28"/>
        <v>0</v>
      </c>
      <c r="W23" s="409">
        <f t="shared" si="20"/>
        <v>0</v>
      </c>
      <c r="X23" s="39">
        <f t="shared" si="29"/>
        <v>0</v>
      </c>
      <c r="Y23" s="410">
        <f t="shared" si="20"/>
        <v>0</v>
      </c>
      <c r="Z23" s="149">
        <f t="shared" si="20"/>
        <v>0</v>
      </c>
      <c r="AA23" s="505">
        <f t="shared" si="20"/>
        <v>0</v>
      </c>
      <c r="AB23" s="410">
        <f t="shared" si="20"/>
        <v>0</v>
      </c>
      <c r="AC23" s="116">
        <f t="shared" si="30"/>
        <v>0</v>
      </c>
      <c r="AD23" s="152">
        <f t="shared" si="30"/>
        <v>0</v>
      </c>
      <c r="AE23" s="107"/>
      <c r="AF23" s="107"/>
      <c r="AG23" s="107"/>
    </row>
    <row r="24" spans="1:33" s="230" customFormat="1" x14ac:dyDescent="0.25">
      <c r="A24" s="221" t="s">
        <v>11</v>
      </c>
      <c r="B24" s="522">
        <f t="shared" si="21"/>
        <v>0</v>
      </c>
      <c r="C24" s="102">
        <f t="shared" si="21"/>
        <v>0</v>
      </c>
      <c r="D24" s="496">
        <f t="shared" si="21"/>
        <v>0</v>
      </c>
      <c r="E24" s="530">
        <f t="shared" si="19"/>
        <v>0</v>
      </c>
      <c r="F24" s="223">
        <f t="shared" si="19"/>
        <v>0</v>
      </c>
      <c r="G24" s="223">
        <f t="shared" si="19"/>
        <v>0</v>
      </c>
      <c r="H24" s="223">
        <f t="shared" si="19"/>
        <v>0</v>
      </c>
      <c r="I24" s="223">
        <f t="shared" ref="I24:L24" si="32">I7*2.205</f>
        <v>0</v>
      </c>
      <c r="J24" s="223">
        <f t="shared" si="32"/>
        <v>0</v>
      </c>
      <c r="K24" s="223">
        <v>64225</v>
      </c>
      <c r="L24" s="223">
        <f t="shared" si="32"/>
        <v>0</v>
      </c>
      <c r="M24" s="395">
        <f t="shared" si="23"/>
        <v>0</v>
      </c>
      <c r="N24" s="232">
        <f t="shared" si="24"/>
        <v>0</v>
      </c>
      <c r="O24" s="239">
        <v>5825</v>
      </c>
      <c r="P24" s="237">
        <f t="shared" si="25"/>
        <v>0</v>
      </c>
      <c r="Q24" s="102" t="s">
        <v>12</v>
      </c>
      <c r="R24" s="90">
        <f t="shared" si="26"/>
        <v>0</v>
      </c>
      <c r="S24" s="237">
        <f t="shared" si="27"/>
        <v>0</v>
      </c>
      <c r="T24" s="237">
        <f t="shared" si="27"/>
        <v>0</v>
      </c>
      <c r="U24" s="496"/>
      <c r="V24" s="502">
        <f t="shared" si="28"/>
        <v>0</v>
      </c>
      <c r="W24" s="407">
        <f t="shared" si="20"/>
        <v>0</v>
      </c>
      <c r="X24" s="84">
        <f t="shared" si="29"/>
        <v>0</v>
      </c>
      <c r="Y24" s="408">
        <f t="shared" si="20"/>
        <v>0</v>
      </c>
      <c r="Z24" s="237">
        <f t="shared" si="20"/>
        <v>0</v>
      </c>
      <c r="AA24" s="503">
        <f t="shared" si="20"/>
        <v>0</v>
      </c>
      <c r="AB24" s="408">
        <f t="shared" si="20"/>
        <v>0</v>
      </c>
      <c r="AC24" s="236">
        <f t="shared" si="30"/>
        <v>0</v>
      </c>
      <c r="AD24" s="240">
        <f t="shared" si="30"/>
        <v>0</v>
      </c>
      <c r="AE24" s="107"/>
      <c r="AF24" s="107"/>
      <c r="AG24" s="107"/>
    </row>
    <row r="25" spans="1:33" x14ac:dyDescent="0.25">
      <c r="A25" s="53" t="s">
        <v>2</v>
      </c>
      <c r="B25" s="520">
        <f t="shared" si="21"/>
        <v>0</v>
      </c>
      <c r="C25" s="519">
        <f t="shared" si="21"/>
        <v>0</v>
      </c>
      <c r="D25" s="521">
        <f t="shared" si="21"/>
        <v>0</v>
      </c>
      <c r="E25" s="531">
        <f t="shared" si="19"/>
        <v>0</v>
      </c>
      <c r="F25" s="190">
        <f t="shared" si="19"/>
        <v>0</v>
      </c>
      <c r="G25" s="190">
        <f t="shared" si="19"/>
        <v>0</v>
      </c>
      <c r="H25" s="190">
        <f t="shared" si="19"/>
        <v>0</v>
      </c>
      <c r="I25" s="190">
        <f t="shared" ref="I25:L25" si="33">I8*2.205</f>
        <v>0</v>
      </c>
      <c r="J25" s="190">
        <f t="shared" si="33"/>
        <v>0</v>
      </c>
      <c r="K25" s="190">
        <v>47890</v>
      </c>
      <c r="L25" s="190">
        <f t="shared" si="33"/>
        <v>0</v>
      </c>
      <c r="M25" s="231">
        <f t="shared" si="23"/>
        <v>0</v>
      </c>
      <c r="N25" s="233">
        <f t="shared" si="24"/>
        <v>0</v>
      </c>
      <c r="O25" s="241">
        <v>4604.8</v>
      </c>
      <c r="P25" s="149">
        <f t="shared" si="25"/>
        <v>0</v>
      </c>
      <c r="Q25" s="15">
        <v>8.6999999999999993</v>
      </c>
      <c r="R25" s="15">
        <f t="shared" si="26"/>
        <v>0</v>
      </c>
      <c r="S25" s="149">
        <f t="shared" si="27"/>
        <v>0</v>
      </c>
      <c r="T25" s="149">
        <f t="shared" si="27"/>
        <v>0</v>
      </c>
      <c r="U25" s="416"/>
      <c r="V25" s="504">
        <f t="shared" si="28"/>
        <v>0</v>
      </c>
      <c r="W25" s="409">
        <f t="shared" si="20"/>
        <v>0</v>
      </c>
      <c r="X25" s="39">
        <f t="shared" si="29"/>
        <v>0</v>
      </c>
      <c r="Y25" s="410">
        <f t="shared" si="20"/>
        <v>0</v>
      </c>
      <c r="Z25" s="149">
        <f t="shared" si="20"/>
        <v>0</v>
      </c>
      <c r="AA25" s="505">
        <f t="shared" si="20"/>
        <v>0</v>
      </c>
      <c r="AB25" s="410">
        <f t="shared" si="20"/>
        <v>0</v>
      </c>
      <c r="AC25" s="116">
        <f t="shared" si="30"/>
        <v>0</v>
      </c>
      <c r="AD25" s="152">
        <f t="shared" si="30"/>
        <v>0</v>
      </c>
      <c r="AE25" s="107"/>
      <c r="AF25" s="107"/>
      <c r="AG25" s="107"/>
    </row>
    <row r="26" spans="1:33" s="230" customFormat="1" x14ac:dyDescent="0.25">
      <c r="A26" s="222" t="s">
        <v>9</v>
      </c>
      <c r="B26" s="522">
        <f t="shared" si="21"/>
        <v>0</v>
      </c>
      <c r="C26" s="102">
        <f t="shared" si="21"/>
        <v>0</v>
      </c>
      <c r="D26" s="496">
        <f t="shared" si="21"/>
        <v>0</v>
      </c>
      <c r="E26" s="530">
        <f t="shared" si="19"/>
        <v>0</v>
      </c>
      <c r="F26" s="223">
        <f t="shared" si="19"/>
        <v>0</v>
      </c>
      <c r="G26" s="223">
        <f t="shared" si="19"/>
        <v>0</v>
      </c>
      <c r="H26" s="223">
        <f t="shared" si="19"/>
        <v>0</v>
      </c>
      <c r="I26" s="223">
        <f t="shared" ref="I26:L26" si="34">I9*2.205</f>
        <v>0</v>
      </c>
      <c r="J26" s="223">
        <f t="shared" si="34"/>
        <v>0</v>
      </c>
      <c r="K26" s="223">
        <v>38615</v>
      </c>
      <c r="L26" s="223">
        <f t="shared" si="34"/>
        <v>0</v>
      </c>
      <c r="M26" s="395">
        <f t="shared" si="23"/>
        <v>0</v>
      </c>
      <c r="N26" s="232">
        <f t="shared" si="24"/>
        <v>0</v>
      </c>
      <c r="O26" s="239">
        <v>3648</v>
      </c>
      <c r="P26" s="237">
        <f t="shared" si="25"/>
        <v>0</v>
      </c>
      <c r="Q26" s="102">
        <v>7.87</v>
      </c>
      <c r="R26" s="90">
        <f t="shared" si="26"/>
        <v>0</v>
      </c>
      <c r="S26" s="237">
        <f t="shared" si="27"/>
        <v>0</v>
      </c>
      <c r="T26" s="237">
        <f t="shared" si="27"/>
        <v>0</v>
      </c>
      <c r="U26" s="496"/>
      <c r="V26" s="502">
        <f t="shared" si="28"/>
        <v>0</v>
      </c>
      <c r="W26" s="407">
        <f t="shared" si="20"/>
        <v>0</v>
      </c>
      <c r="X26" s="84">
        <f t="shared" si="29"/>
        <v>0</v>
      </c>
      <c r="Y26" s="408">
        <f t="shared" si="20"/>
        <v>0</v>
      </c>
      <c r="Z26" s="237">
        <f t="shared" si="20"/>
        <v>0</v>
      </c>
      <c r="AA26" s="503">
        <f t="shared" si="20"/>
        <v>0</v>
      </c>
      <c r="AB26" s="408">
        <f t="shared" si="20"/>
        <v>0</v>
      </c>
      <c r="AC26" s="236">
        <f t="shared" si="30"/>
        <v>0</v>
      </c>
      <c r="AD26" s="240">
        <f t="shared" si="30"/>
        <v>0</v>
      </c>
      <c r="AE26" s="107"/>
      <c r="AF26" s="107"/>
      <c r="AG26" s="107"/>
    </row>
    <row r="27" spans="1:33" ht="15.75" thickBot="1" x14ac:dyDescent="0.3">
      <c r="A27" s="57" t="s">
        <v>1</v>
      </c>
      <c r="B27" s="520">
        <f t="shared" si="21"/>
        <v>0</v>
      </c>
      <c r="C27" s="519">
        <f t="shared" si="21"/>
        <v>0</v>
      </c>
      <c r="D27" s="521">
        <f t="shared" si="21"/>
        <v>0</v>
      </c>
      <c r="E27" s="531">
        <f t="shared" si="19"/>
        <v>0</v>
      </c>
      <c r="F27" s="190">
        <f t="shared" si="19"/>
        <v>0</v>
      </c>
      <c r="G27" s="190">
        <f t="shared" si="19"/>
        <v>0</v>
      </c>
      <c r="H27" s="190">
        <f t="shared" si="19"/>
        <v>0</v>
      </c>
      <c r="I27" s="190">
        <f t="shared" ref="I27:L27" si="35">I10*2.205</f>
        <v>0</v>
      </c>
      <c r="J27" s="190">
        <f t="shared" si="35"/>
        <v>0</v>
      </c>
      <c r="K27" s="190">
        <v>40322</v>
      </c>
      <c r="L27" s="190">
        <f t="shared" si="35"/>
        <v>0</v>
      </c>
      <c r="M27" s="231">
        <f t="shared" si="23"/>
        <v>0</v>
      </c>
      <c r="N27" s="233">
        <f t="shared" si="24"/>
        <v>0</v>
      </c>
      <c r="O27" s="241">
        <v>4215.1499999999996</v>
      </c>
      <c r="P27" s="149">
        <f t="shared" si="25"/>
        <v>0</v>
      </c>
      <c r="Q27" s="15">
        <v>9.5</v>
      </c>
      <c r="R27" s="15">
        <f t="shared" si="26"/>
        <v>0</v>
      </c>
      <c r="S27" s="149">
        <f t="shared" si="27"/>
        <v>0</v>
      </c>
      <c r="T27" s="149">
        <f t="shared" si="27"/>
        <v>0</v>
      </c>
      <c r="U27" s="416"/>
      <c r="V27" s="504">
        <f t="shared" si="28"/>
        <v>0</v>
      </c>
      <c r="W27" s="409">
        <f t="shared" si="20"/>
        <v>0</v>
      </c>
      <c r="X27" s="39">
        <f t="shared" si="29"/>
        <v>0</v>
      </c>
      <c r="Y27" s="410">
        <f t="shared" si="20"/>
        <v>0</v>
      </c>
      <c r="Z27" s="149">
        <f t="shared" si="20"/>
        <v>0</v>
      </c>
      <c r="AA27" s="505">
        <f t="shared" si="20"/>
        <v>0</v>
      </c>
      <c r="AB27" s="410">
        <f t="shared" si="20"/>
        <v>0</v>
      </c>
      <c r="AC27" s="116">
        <f t="shared" si="30"/>
        <v>0</v>
      </c>
      <c r="AD27" s="152">
        <f t="shared" si="30"/>
        <v>0</v>
      </c>
    </row>
    <row r="28" spans="1:33" ht="15.75" thickBot="1" x14ac:dyDescent="0.3">
      <c r="A28" s="55" t="s">
        <v>52</v>
      </c>
      <c r="B28" s="523">
        <f t="shared" si="21"/>
        <v>400</v>
      </c>
      <c r="C28" s="524">
        <f t="shared" si="21"/>
        <v>0</v>
      </c>
      <c r="D28" s="525">
        <f t="shared" si="21"/>
        <v>0</v>
      </c>
      <c r="E28" s="532">
        <f>E11*2.205</f>
        <v>775130.26500000001</v>
      </c>
      <c r="F28" s="201">
        <f>F11*2.205</f>
        <v>370062.94500000001</v>
      </c>
      <c r="G28" s="201">
        <f>G11*2.205</f>
        <v>363042.96367500001</v>
      </c>
      <c r="H28" s="201">
        <f>H11*2.205</f>
        <v>524088.81</v>
      </c>
      <c r="I28" s="201">
        <f t="shared" ref="I28:L28" si="36">I11*2.205</f>
        <v>524084.4</v>
      </c>
      <c r="J28" s="201">
        <f t="shared" si="36"/>
        <v>0</v>
      </c>
      <c r="K28" s="201"/>
      <c r="L28" s="201">
        <f t="shared" si="36"/>
        <v>154025.86499999999</v>
      </c>
      <c r="M28" s="396">
        <f t="shared" si="23"/>
        <v>0.46836380937209304</v>
      </c>
      <c r="N28" s="234">
        <f t="shared" si="24"/>
        <v>0.67612997926225993</v>
      </c>
      <c r="O28" s="242">
        <v>4604.8</v>
      </c>
      <c r="P28" s="150">
        <f t="shared" si="25"/>
        <v>199.9015748031494</v>
      </c>
      <c r="Q28" s="104">
        <v>8.6999999999999993</v>
      </c>
      <c r="R28" s="16">
        <f t="shared" si="26"/>
        <v>31.5</v>
      </c>
      <c r="S28" s="498">
        <f t="shared" si="27"/>
        <v>0</v>
      </c>
      <c r="T28" s="498">
        <f t="shared" si="27"/>
        <v>0</v>
      </c>
      <c r="U28" s="497"/>
      <c r="V28" s="506">
        <f t="shared" si="28"/>
        <v>242.32283464566905</v>
      </c>
      <c r="W28" s="411">
        <f t="shared" si="20"/>
        <v>20.341207349081344</v>
      </c>
      <c r="X28" s="103">
        <f t="shared" si="29"/>
        <v>11.912903225806451</v>
      </c>
      <c r="Y28" s="412">
        <f t="shared" si="20"/>
        <v>19.258530183727014</v>
      </c>
      <c r="Z28" s="150">
        <f t="shared" si="20"/>
        <v>0</v>
      </c>
      <c r="AA28" s="507">
        <f t="shared" si="20"/>
        <v>0</v>
      </c>
      <c r="AB28" s="412">
        <f t="shared" si="20"/>
        <v>0</v>
      </c>
      <c r="AC28" s="118">
        <f>AC11*10.7639104167097</f>
        <v>1089.9535687960242</v>
      </c>
      <c r="AD28" s="153">
        <f>AD11*10.7639104167097</f>
        <v>572.96295148145737</v>
      </c>
    </row>
    <row r="29" spans="1:33" ht="15.75" thickBot="1" x14ac:dyDescent="0.3"/>
    <row r="30" spans="1:33" x14ac:dyDescent="0.25">
      <c r="D30" s="543" t="s">
        <v>197</v>
      </c>
      <c r="E30" s="14" t="s">
        <v>64</v>
      </c>
      <c r="F30" s="101" t="s">
        <v>42</v>
      </c>
      <c r="M30" t="s">
        <v>202</v>
      </c>
      <c r="N30" s="289" t="s">
        <v>198</v>
      </c>
      <c r="O30" s="289" t="s">
        <v>199</v>
      </c>
    </row>
    <row r="31" spans="1:33" ht="15.75" thickBot="1" x14ac:dyDescent="0.3">
      <c r="D31" s="548"/>
      <c r="E31" s="549">
        <f>LOG(E21,10)</f>
        <v>5.7144764560755927</v>
      </c>
      <c r="F31" s="370">
        <f>LOG(G21,10)</f>
        <v>5.4311012986150509</v>
      </c>
      <c r="N31" s="550">
        <v>200000</v>
      </c>
      <c r="O31" s="550">
        <v>700000</v>
      </c>
    </row>
    <row r="32" spans="1:33" x14ac:dyDescent="0.25">
      <c r="D32" s="548"/>
      <c r="E32" s="549">
        <f t="shared" ref="E32:E37" si="37">LOG(E22,10)</f>
        <v>5.9057014582603315</v>
      </c>
      <c r="F32" s="370">
        <f t="shared" ref="F32:F37" si="38">LOG(G22,10)</f>
        <v>5.5841499873626574</v>
      </c>
      <c r="N32" s="289" t="s">
        <v>200</v>
      </c>
      <c r="O32" s="289" t="s">
        <v>201</v>
      </c>
    </row>
    <row r="33" spans="4:15" ht="15.75" thickBot="1" x14ac:dyDescent="0.3">
      <c r="D33" s="548"/>
      <c r="E33" s="549" t="e">
        <f t="shared" si="37"/>
        <v>#NUM!</v>
      </c>
      <c r="F33" s="370" t="e">
        <f t="shared" si="38"/>
        <v>#NUM!</v>
      </c>
      <c r="N33" s="550">
        <f>10^(1.0021*LOG(N31,10)+0.3148)</f>
        <v>423606.05441019882</v>
      </c>
      <c r="O33" s="550">
        <f>10^(1.0021*LOG(O31,10)+0.3148)</f>
        <v>1486526.8087775551</v>
      </c>
    </row>
    <row r="34" spans="4:15" ht="15.75" thickBot="1" x14ac:dyDescent="0.3">
      <c r="D34" s="548"/>
      <c r="E34" s="549" t="e">
        <f t="shared" si="37"/>
        <v>#NUM!</v>
      </c>
      <c r="F34" s="370" t="e">
        <f t="shared" si="38"/>
        <v>#NUM!</v>
      </c>
    </row>
    <row r="35" spans="4:15" x14ac:dyDescent="0.25">
      <c r="D35" s="548"/>
      <c r="E35" s="549" t="e">
        <f t="shared" si="37"/>
        <v>#NUM!</v>
      </c>
      <c r="F35" s="370" t="e">
        <f t="shared" si="38"/>
        <v>#NUM!</v>
      </c>
      <c r="M35" t="s">
        <v>196</v>
      </c>
      <c r="N35" s="289" t="s">
        <v>198</v>
      </c>
      <c r="O35" s="289" t="s">
        <v>199</v>
      </c>
    </row>
    <row r="36" spans="4:15" ht="15.75" thickBot="1" x14ac:dyDescent="0.3">
      <c r="D36" s="548"/>
      <c r="E36" s="549" t="e">
        <f t="shared" si="37"/>
        <v>#NUM!</v>
      </c>
      <c r="F36" s="370" t="e">
        <f t="shared" si="38"/>
        <v>#NUM!</v>
      </c>
      <c r="N36" s="550">
        <v>200000</v>
      </c>
      <c r="O36" s="550">
        <v>700000</v>
      </c>
    </row>
    <row r="37" spans="4:15" ht="15.75" thickBot="1" x14ac:dyDescent="0.3">
      <c r="D37" s="544"/>
      <c r="E37" s="545" t="e">
        <f t="shared" si="37"/>
        <v>#NUM!</v>
      </c>
      <c r="F37" s="546" t="e">
        <f t="shared" si="38"/>
        <v>#NUM!</v>
      </c>
      <c r="N37" s="289" t="s">
        <v>200</v>
      </c>
      <c r="O37" s="289" t="s">
        <v>201</v>
      </c>
    </row>
    <row r="38" spans="4:15" ht="15.75" thickBot="1" x14ac:dyDescent="0.3">
      <c r="N38" s="550">
        <f>10^(1.1094*LOG(N36,10)-0.2743)</f>
        <v>404261.77375201363</v>
      </c>
      <c r="O38" s="550">
        <f>10^(1.1094*LOG(O36,10)-0.2743)</f>
        <v>1622750.5522153517</v>
      </c>
    </row>
    <row r="46" spans="4:15" ht="15.75" thickBot="1" x14ac:dyDescent="0.3"/>
    <row r="47" spans="4:15" x14ac:dyDescent="0.25">
      <c r="D47" s="543" t="s">
        <v>196</v>
      </c>
      <c r="E47" s="14" t="s">
        <v>64</v>
      </c>
      <c r="F47" s="101" t="s">
        <v>42</v>
      </c>
    </row>
    <row r="48" spans="4:15" x14ac:dyDescent="0.25">
      <c r="D48" s="548"/>
      <c r="E48" s="549">
        <f>LOG(E21,10)</f>
        <v>5.7144764560755927</v>
      </c>
      <c r="F48" s="370">
        <f>LOG(G21,10)</f>
        <v>5.4311012986150509</v>
      </c>
    </row>
    <row r="49" spans="4:6" x14ac:dyDescent="0.25">
      <c r="D49" s="548"/>
      <c r="E49" s="549">
        <f t="shared" ref="E49" si="39">LOG(E22,10)</f>
        <v>5.9057014582603315</v>
      </c>
      <c r="F49" s="370">
        <f t="shared" ref="F49" si="40">LOG(G22,10)</f>
        <v>5.5841499873626574</v>
      </c>
    </row>
    <row r="50" spans="4:6" x14ac:dyDescent="0.25">
      <c r="D50" s="548"/>
      <c r="E50" s="549" t="e">
        <f>LOG(E24,10)</f>
        <v>#NUM!</v>
      </c>
      <c r="F50" s="370" t="e">
        <f>LOG(G24,10)</f>
        <v>#NUM!</v>
      </c>
    </row>
    <row r="51" spans="4:6" x14ac:dyDescent="0.25">
      <c r="D51" s="548"/>
      <c r="E51" s="549" t="e">
        <f>LOG(E25,10)</f>
        <v>#NUM!</v>
      </c>
      <c r="F51" s="370" t="e">
        <f>LOG(G25,10)</f>
        <v>#NUM!</v>
      </c>
    </row>
    <row r="52" spans="4:6" x14ac:dyDescent="0.25">
      <c r="D52" s="548"/>
      <c r="E52" s="549" t="e">
        <f>LOG(E26,10)</f>
        <v>#NUM!</v>
      </c>
      <c r="F52" s="370" t="e">
        <f>LOG(G26,10)</f>
        <v>#NUM!</v>
      </c>
    </row>
    <row r="53" spans="4:6" ht="15.75" thickBot="1" x14ac:dyDescent="0.3">
      <c r="D53" s="544"/>
      <c r="E53" s="545" t="e">
        <f>LOG(E27,10)</f>
        <v>#NUM!</v>
      </c>
      <c r="F53" s="546" t="e">
        <f>LOG(G27,10)</f>
        <v>#NUM!</v>
      </c>
    </row>
  </sheetData>
  <mergeCells count="12">
    <mergeCell ref="B2:D2"/>
    <mergeCell ref="B19:D19"/>
    <mergeCell ref="E19:N19"/>
    <mergeCell ref="E2:N2"/>
    <mergeCell ref="O1:AD1"/>
    <mergeCell ref="O2:U2"/>
    <mergeCell ref="V2:AA2"/>
    <mergeCell ref="AB2:AD2"/>
    <mergeCell ref="O18:AD18"/>
    <mergeCell ref="O19:U19"/>
    <mergeCell ref="V19:AA19"/>
    <mergeCell ref="AB19:AD1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22" workbookViewId="0">
      <selection activeCell="B22" sqref="B22:O26"/>
    </sheetView>
  </sheetViews>
  <sheetFormatPr defaultColWidth="20.28515625" defaultRowHeight="15" x14ac:dyDescent="0.25"/>
  <cols>
    <col min="2" max="2" width="17.85546875" customWidth="1"/>
    <col min="3" max="3" width="13.140625" customWidth="1"/>
    <col min="4" max="5" width="8.7109375" customWidth="1"/>
    <col min="6" max="6" width="16.7109375" customWidth="1"/>
    <col min="7" max="7" width="9.42578125" customWidth="1"/>
    <col min="8" max="8" width="12.28515625" customWidth="1"/>
    <col min="9" max="9" width="10.42578125" customWidth="1"/>
    <col min="10" max="10" width="9.5703125" customWidth="1"/>
    <col min="11" max="11" width="9.7109375" customWidth="1"/>
    <col min="12" max="12" width="9.42578125" customWidth="1"/>
    <col min="13" max="13" width="10" customWidth="1"/>
    <col min="14" max="14" width="9.140625" customWidth="1"/>
    <col min="15" max="15" width="8.42578125" customWidth="1"/>
  </cols>
  <sheetData>
    <row r="1" spans="1:17" ht="19.5" thickBot="1" x14ac:dyDescent="0.35">
      <c r="A1" s="12" t="s">
        <v>0</v>
      </c>
      <c r="B1" s="77"/>
      <c r="C1" s="78" t="s">
        <v>50</v>
      </c>
      <c r="D1" s="12"/>
      <c r="E1" s="12"/>
      <c r="F1" s="77"/>
      <c r="G1" s="86"/>
      <c r="H1" s="86"/>
      <c r="I1" s="87" t="s">
        <v>51</v>
      </c>
      <c r="J1" s="86"/>
      <c r="K1" s="86"/>
      <c r="L1" s="14"/>
      <c r="M1" s="14"/>
      <c r="N1" s="86"/>
      <c r="O1" s="101"/>
    </row>
    <row r="2" spans="1:17" ht="15.75" thickBot="1" x14ac:dyDescent="0.3">
      <c r="A2" s="75"/>
      <c r="B2" s="100" t="s">
        <v>39</v>
      </c>
      <c r="C2" s="7" t="s">
        <v>48</v>
      </c>
      <c r="D2" s="74" t="s">
        <v>45</v>
      </c>
      <c r="E2" s="8"/>
      <c r="F2" s="83" t="s">
        <v>40</v>
      </c>
      <c r="G2" s="24" t="s">
        <v>61</v>
      </c>
      <c r="H2" s="24" t="s">
        <v>62</v>
      </c>
      <c r="I2" s="24" t="s">
        <v>53</v>
      </c>
      <c r="J2" s="24" t="s">
        <v>54</v>
      </c>
      <c r="K2" s="24" t="s">
        <v>55</v>
      </c>
      <c r="L2" s="24" t="s">
        <v>56</v>
      </c>
      <c r="M2" s="24" t="s">
        <v>148</v>
      </c>
      <c r="N2" s="24" t="s">
        <v>66</v>
      </c>
      <c r="O2" s="97" t="s">
        <v>63</v>
      </c>
      <c r="Q2" s="106" t="s">
        <v>65</v>
      </c>
    </row>
    <row r="3" spans="1:17" x14ac:dyDescent="0.25">
      <c r="A3" s="88" t="s">
        <v>10</v>
      </c>
      <c r="B3" s="256">
        <v>2515</v>
      </c>
      <c r="C3" s="98">
        <f>SQRT(2*'Pesi e Geometrie'!E4*9.81/('Pesi e Geometrie'!O4*1.225*'TO &amp; LD'!D3))</f>
        <v>67.461685595536466</v>
      </c>
      <c r="D3" s="470">
        <f>D20</f>
        <v>2.2871148740471114</v>
      </c>
      <c r="E3" s="304"/>
      <c r="F3" s="475">
        <v>1753</v>
      </c>
      <c r="G3" s="36">
        <v>0.3</v>
      </c>
      <c r="H3" s="36">
        <v>4.55</v>
      </c>
      <c r="I3" s="36">
        <f>I20/1.9438444924406</f>
        <v>54.307364317154615</v>
      </c>
      <c r="J3" s="36">
        <f>J20/1.9438444924406</f>
        <v>70.599573612301</v>
      </c>
      <c r="K3" s="36">
        <f t="shared" ref="K3:K9" si="0">1.23*I3</f>
        <v>66.798058110100172</v>
      </c>
      <c r="L3" s="36">
        <f t="shared" ref="L3:L9" si="1">1.15*I3</f>
        <v>62.453468964727804</v>
      </c>
      <c r="M3" s="36">
        <v>0.78</v>
      </c>
      <c r="N3" s="36">
        <f>2*M3*'Pesi e Geometrie'!E4*9.81/(1.225*'Pesi e Geometrie'!O4*'TO &amp; LD'!J3*'TO &amp; LD'!J3)</f>
        <v>1.628893916197901</v>
      </c>
      <c r="O3" s="37">
        <f>2*M3*'Pesi e Geometrie'!E4*9.81/(1.225*'Pesi e Geometrie'!O4*'TO &amp; LD'!I3*'TO &amp; LD'!I3)</f>
        <v>2.7528307183744527</v>
      </c>
    </row>
    <row r="4" spans="1:17" x14ac:dyDescent="0.25">
      <c r="A4" s="85" t="s">
        <v>14</v>
      </c>
      <c r="B4" s="257">
        <v>3140</v>
      </c>
      <c r="C4" s="547">
        <f>SQRT(2*'Pesi e Geometrie'!E5*9.81/('Pesi e Geometrie'!O5*1.225*'TO &amp; LD'!D4))</f>
        <v>78.976808179174171</v>
      </c>
      <c r="D4" s="474">
        <f t="shared" ref="D4:D10" si="2">D21</f>
        <v>2.1447426394616125</v>
      </c>
      <c r="E4" s="474"/>
      <c r="F4" s="257">
        <v>2100</v>
      </c>
      <c r="G4" s="84">
        <v>0.2</v>
      </c>
      <c r="H4" s="84">
        <v>3.41</v>
      </c>
      <c r="I4" s="183">
        <f t="shared" ref="I4:I10" si="3">I21/1.9438444924406</f>
        <v>60.014894540100457</v>
      </c>
      <c r="J4" s="183">
        <f t="shared" ref="J4:J10" si="4">J21/1.9438444924406</f>
        <v>78.019362902130595</v>
      </c>
      <c r="K4" s="84">
        <f t="shared" si="0"/>
        <v>73.818320284323562</v>
      </c>
      <c r="L4" s="84">
        <f t="shared" si="1"/>
        <v>69.017128721115526</v>
      </c>
      <c r="M4" s="183">
        <v>0.7</v>
      </c>
      <c r="N4" s="183">
        <f>2*M4*'Pesi e Geometrie'!E5*9.81/(1.225*'Pesi e Geometrie'!O5*'TO &amp; LD'!J4*'TO &amp; LD'!J4)</f>
        <v>1.5383940186251408</v>
      </c>
      <c r="O4" s="476">
        <f>2*M4*'Pesi e Geometrie'!E5*9.81/(1.225*'Pesi e Geometrie'!O5*'TO &amp; LD'!I4*'TO &amp; LD'!I4)</f>
        <v>2.5998858914764882</v>
      </c>
    </row>
    <row r="5" spans="1:17" x14ac:dyDescent="0.25">
      <c r="A5" s="59" t="s">
        <v>7</v>
      </c>
      <c r="B5" s="258"/>
      <c r="C5" s="98"/>
      <c r="D5" s="470"/>
      <c r="E5" s="470"/>
      <c r="F5" s="258"/>
      <c r="G5" s="39"/>
      <c r="H5" s="39"/>
      <c r="I5" s="76"/>
      <c r="J5" s="76"/>
      <c r="K5" s="39"/>
      <c r="L5" s="39"/>
      <c r="M5" s="76"/>
      <c r="N5" s="76"/>
      <c r="O5" s="477"/>
      <c r="P5" s="107"/>
    </row>
    <row r="6" spans="1:17" x14ac:dyDescent="0.25">
      <c r="A6" s="85" t="s">
        <v>11</v>
      </c>
      <c r="B6" s="257"/>
      <c r="C6" s="547"/>
      <c r="D6" s="474"/>
      <c r="E6" s="474"/>
      <c r="F6" s="257"/>
      <c r="G6" s="84"/>
      <c r="H6" s="84"/>
      <c r="I6" s="183"/>
      <c r="J6" s="183"/>
      <c r="K6" s="84"/>
      <c r="L6" s="84"/>
      <c r="M6" s="183"/>
      <c r="N6" s="183"/>
      <c r="O6" s="476"/>
    </row>
    <row r="7" spans="1:17" x14ac:dyDescent="0.25">
      <c r="A7" s="59" t="s">
        <v>2</v>
      </c>
      <c r="B7" s="258"/>
      <c r="C7" s="98"/>
      <c r="D7" s="470"/>
      <c r="E7" s="470"/>
      <c r="F7" s="258"/>
      <c r="G7" s="39"/>
      <c r="H7" s="39"/>
      <c r="I7" s="76"/>
      <c r="J7" s="76"/>
      <c r="K7" s="39"/>
      <c r="L7" s="39"/>
      <c r="M7" s="76"/>
      <c r="N7" s="76"/>
      <c r="O7" s="477"/>
    </row>
    <row r="8" spans="1:17" x14ac:dyDescent="0.25">
      <c r="A8" s="85" t="s">
        <v>1</v>
      </c>
      <c r="B8" s="257"/>
      <c r="C8" s="547"/>
      <c r="D8" s="474"/>
      <c r="E8" s="474"/>
      <c r="F8" s="257"/>
      <c r="G8" s="84"/>
      <c r="H8" s="84"/>
      <c r="I8" s="183"/>
      <c r="J8" s="183"/>
      <c r="K8" s="84"/>
      <c r="L8" s="84"/>
      <c r="M8" s="183"/>
      <c r="N8" s="183"/>
      <c r="O8" s="476"/>
    </row>
    <row r="9" spans="1:17" ht="15.75" thickBot="1" x14ac:dyDescent="0.3">
      <c r="A9" s="466" t="s">
        <v>9</v>
      </c>
      <c r="B9" s="258"/>
      <c r="C9" s="98"/>
      <c r="D9" s="470"/>
      <c r="E9" s="470"/>
      <c r="F9" s="258"/>
      <c r="G9" s="39"/>
      <c r="H9" s="39"/>
      <c r="I9" s="76"/>
      <c r="J9" s="76"/>
      <c r="K9" s="39"/>
      <c r="L9" s="39"/>
      <c r="M9" s="76"/>
      <c r="N9" s="76"/>
      <c r="O9" s="477"/>
      <c r="P9" s="107"/>
    </row>
    <row r="10" spans="1:17" ht="15.75" thickBot="1" x14ac:dyDescent="0.3">
      <c r="A10" s="60" t="s">
        <v>2</v>
      </c>
      <c r="B10" s="259">
        <v>3200</v>
      </c>
      <c r="C10" s="98">
        <f>SQRT(2*'Pesi e Geometrie'!E11*9.81/('Pesi e Geometrie'!O11*1.225*'TO &amp; LD'!D10))</f>
        <v>80.783036836667293</v>
      </c>
      <c r="D10" s="471">
        <f t="shared" si="2"/>
        <v>2.0167305811059202</v>
      </c>
      <c r="E10" s="471"/>
      <c r="F10" s="259">
        <v>1981</v>
      </c>
      <c r="G10" s="81"/>
      <c r="H10" s="81"/>
      <c r="I10" s="478">
        <f t="shared" si="3"/>
        <v>56.399703185993822</v>
      </c>
      <c r="J10" s="478">
        <f t="shared" si="4"/>
        <v>73.319614141791973</v>
      </c>
      <c r="K10" s="41">
        <f t="shared" ref="K10" si="5">1.23*I10</f>
        <v>69.371634918772401</v>
      </c>
      <c r="L10" s="41">
        <f t="shared" ref="L10" si="6">1.15*I10</f>
        <v>64.859658663892887</v>
      </c>
      <c r="M10" s="478">
        <v>0.7</v>
      </c>
      <c r="N10" s="478">
        <f>2*M10*'Pesi e Geometrie'!E11*9.81/(1.225*'Pesi e Geometrie'!O11*'TO &amp; LD'!J10*'TO &amp; LD'!J10)</f>
        <v>1.7137439440402766</v>
      </c>
      <c r="O10" s="479">
        <f>2*M10*'Pesi e Geometrie'!E11*9.81/(1.225*'Pesi e Geometrie'!O11*'TO &amp; LD'!I10*'TO &amp; LD'!I10)</f>
        <v>2.8962272654280676</v>
      </c>
    </row>
    <row r="11" spans="1:17" x14ac:dyDescent="0.25">
      <c r="A11" s="1"/>
      <c r="B11" s="2"/>
      <c r="C11" s="1"/>
      <c r="D11" s="1"/>
      <c r="E11" s="1"/>
      <c r="F11" s="2"/>
      <c r="G11" s="2"/>
      <c r="H11" s="2"/>
      <c r="I11" s="2"/>
      <c r="J11" s="2"/>
      <c r="K11" s="2"/>
      <c r="L11" s="2"/>
      <c r="M11" s="2"/>
      <c r="N11" s="2"/>
    </row>
    <row r="12" spans="1:17" x14ac:dyDescent="0.25">
      <c r="A12" s="1" t="s">
        <v>26</v>
      </c>
      <c r="B12" s="46">
        <f>AVERAGE(B3:B9)</f>
        <v>2827.5</v>
      </c>
      <c r="C12" s="1"/>
      <c r="D12" s="1">
        <f>AVERAGE(D3:D9)</f>
        <v>2.2159287567543622</v>
      </c>
      <c r="E12" s="1"/>
      <c r="F12" s="46">
        <f>AVERAGE(F3:F9)</f>
        <v>1926.5</v>
      </c>
      <c r="G12" s="46"/>
      <c r="H12" s="46"/>
      <c r="I12" s="109">
        <f>AVERAGE(I3:I9)</f>
        <v>57.161129428627532</v>
      </c>
      <c r="J12" s="109">
        <f>AVERAGE(J3:J9)</f>
        <v>74.309468257215798</v>
      </c>
      <c r="K12" s="109">
        <f t="shared" ref="K12:O12" si="7">AVERAGE(K3:K9)</f>
        <v>70.308189197211874</v>
      </c>
      <c r="L12" s="109">
        <f t="shared" si="7"/>
        <v>65.735298842921665</v>
      </c>
      <c r="M12" s="109"/>
      <c r="N12" s="44">
        <f t="shared" si="7"/>
        <v>1.583643967411521</v>
      </c>
      <c r="O12" s="44">
        <f t="shared" si="7"/>
        <v>2.6763583049254702</v>
      </c>
    </row>
    <row r="13" spans="1:17" x14ac:dyDescent="0.25">
      <c r="A13" s="1" t="s">
        <v>27</v>
      </c>
      <c r="B13" s="50">
        <f t="shared" ref="B13" si="8">B12*3.2808</f>
        <v>9276.4620000000014</v>
      </c>
      <c r="C13" s="1"/>
      <c r="D13" s="1"/>
      <c r="E13" s="1"/>
      <c r="F13" s="50">
        <f>F12*3.2808</f>
        <v>6320.4612000000006</v>
      </c>
      <c r="G13" s="50"/>
      <c r="H13" s="50"/>
      <c r="I13" s="110">
        <f>AVERAGE(I20:I26)</f>
        <v>111.11234662152194</v>
      </c>
      <c r="J13" s="110">
        <f>AVERAGE(J20:J26)</f>
        <v>144.44605060797852</v>
      </c>
      <c r="K13" s="110">
        <f>AVERAGE(K20:K26)</f>
        <v>136.66818634454228</v>
      </c>
      <c r="L13" s="110">
        <f>AVERAGE(L20:L26)</f>
        <v>127.77919861481595</v>
      </c>
      <c r="M13" s="110"/>
      <c r="N13" s="50"/>
      <c r="O13" s="3"/>
    </row>
    <row r="14" spans="1:17" x14ac:dyDescent="0.25">
      <c r="C14" s="72"/>
      <c r="D14" s="72"/>
      <c r="E14" s="72"/>
    </row>
    <row r="15" spans="1:17" x14ac:dyDescent="0.25">
      <c r="C15" s="72"/>
      <c r="D15" s="72"/>
      <c r="E15" s="72"/>
    </row>
    <row r="16" spans="1:17" x14ac:dyDescent="0.25">
      <c r="C16" s="72"/>
      <c r="D16" s="72"/>
      <c r="E16" s="72"/>
    </row>
    <row r="17" spans="1:15" ht="15.75" thickBot="1" x14ac:dyDescent="0.3">
      <c r="C17" s="72"/>
      <c r="D17" s="72"/>
      <c r="E17" s="72"/>
    </row>
    <row r="18" spans="1:15" ht="19.5" thickBot="1" x14ac:dyDescent="0.35">
      <c r="A18" s="11" t="s">
        <v>0</v>
      </c>
      <c r="B18" s="79"/>
      <c r="C18" s="99" t="s">
        <v>50</v>
      </c>
      <c r="D18" s="8"/>
      <c r="E18" s="9"/>
      <c r="F18" s="26"/>
      <c r="G18" s="26"/>
      <c r="H18" s="26"/>
      <c r="I18" s="80" t="s">
        <v>51</v>
      </c>
      <c r="J18" s="26"/>
      <c r="K18" s="26"/>
      <c r="L18" s="96"/>
      <c r="M18" s="96"/>
      <c r="N18" s="26"/>
      <c r="O18" s="95"/>
    </row>
    <row r="19" spans="1:15" ht="15.75" thickBot="1" x14ac:dyDescent="0.3">
      <c r="A19" s="75"/>
      <c r="B19" s="472" t="s">
        <v>39</v>
      </c>
      <c r="C19" s="471" t="s">
        <v>49</v>
      </c>
      <c r="D19" s="471" t="s">
        <v>45</v>
      </c>
      <c r="E19" s="473" t="s">
        <v>149</v>
      </c>
      <c r="F19" s="527" t="s">
        <v>40</v>
      </c>
      <c r="G19" s="64" t="s">
        <v>61</v>
      </c>
      <c r="H19" s="64" t="s">
        <v>62</v>
      </c>
      <c r="I19" s="526" t="s">
        <v>57</v>
      </c>
      <c r="J19" s="526" t="s">
        <v>58</v>
      </c>
      <c r="K19" s="526" t="s">
        <v>59</v>
      </c>
      <c r="L19" s="526" t="s">
        <v>60</v>
      </c>
      <c r="M19" s="526"/>
      <c r="N19" s="526" t="s">
        <v>46</v>
      </c>
      <c r="O19" s="528" t="s">
        <v>63</v>
      </c>
    </row>
    <row r="20" spans="1:15" x14ac:dyDescent="0.25">
      <c r="A20" s="88" t="s">
        <v>10</v>
      </c>
      <c r="B20" s="252">
        <v>8250</v>
      </c>
      <c r="C20" s="98">
        <f t="shared" ref="C20" si="9">C3*1.9438</f>
        <v>131.13202446060379</v>
      </c>
      <c r="D20" s="304">
        <f>Prestazioni!F20/('TO &amp; LD'!E20*Prestazioni!E3)</f>
        <v>2.2871148740471114</v>
      </c>
      <c r="E20" s="304">
        <f>B20/37.5</f>
        <v>220</v>
      </c>
      <c r="F20" s="480">
        <v>5650</v>
      </c>
      <c r="G20" s="36">
        <f t="shared" ref="G20:H26" si="10">G3</f>
        <v>0.3</v>
      </c>
      <c r="H20" s="36">
        <f t="shared" si="10"/>
        <v>4.55</v>
      </c>
      <c r="I20" s="481">
        <f>J20/1.3</f>
        <v>105.56507102686616</v>
      </c>
      <c r="J20" s="481">
        <f>SQRT(F20/0.3)</f>
        <v>137.23459233492602</v>
      </c>
      <c r="K20" s="20">
        <f t="shared" ref="K20:L26" si="11">K3*3.6*0.539956803456</f>
        <v>129.84503736311217</v>
      </c>
      <c r="L20" s="20">
        <f t="shared" si="11"/>
        <v>121.39983168095853</v>
      </c>
      <c r="M20" s="19">
        <f>M3</f>
        <v>0.78</v>
      </c>
      <c r="N20" s="36">
        <f t="shared" ref="N20:O26" si="12">N3</f>
        <v>1.628893916197901</v>
      </c>
      <c r="O20" s="482">
        <f t="shared" si="12"/>
        <v>2.7528307183744527</v>
      </c>
    </row>
    <row r="21" spans="1:15" x14ac:dyDescent="0.25">
      <c r="A21" s="85" t="s">
        <v>14</v>
      </c>
      <c r="B21" s="253">
        <v>10300</v>
      </c>
      <c r="C21" s="93">
        <f t="shared" ref="C21:C27" si="13">C4*1.9438</f>
        <v>153.51511973867875</v>
      </c>
      <c r="D21" s="474">
        <f>Prestazioni!F21/('TO &amp; LD'!E21*Prestazioni!E4)</f>
        <v>2.1447426394616125</v>
      </c>
      <c r="E21" s="474">
        <f t="shared" ref="E21:E27" si="14">B21/37.5</f>
        <v>274.66666666666669</v>
      </c>
      <c r="F21" s="253">
        <v>6900</v>
      </c>
      <c r="G21" s="183">
        <f t="shared" si="10"/>
        <v>0.2</v>
      </c>
      <c r="H21" s="183">
        <f t="shared" si="10"/>
        <v>3.41</v>
      </c>
      <c r="I21" s="465">
        <f t="shared" ref="I21:I27" si="15">J21/1.3</f>
        <v>116.65962221617771</v>
      </c>
      <c r="J21" s="465">
        <f t="shared" ref="J21:J26" si="16">SQRT(F21/0.3)</f>
        <v>151.65750888103102</v>
      </c>
      <c r="K21" s="92">
        <f t="shared" si="11"/>
        <v>143.49133532597239</v>
      </c>
      <c r="L21" s="92">
        <f t="shared" si="11"/>
        <v>134.15856554867338</v>
      </c>
      <c r="M21" s="90">
        <f t="shared" ref="M21:M27" si="17">M4</f>
        <v>0.7</v>
      </c>
      <c r="N21" s="183">
        <f t="shared" si="12"/>
        <v>1.5383940186251408</v>
      </c>
      <c r="O21" s="468">
        <f t="shared" si="12"/>
        <v>2.5998858914764882</v>
      </c>
    </row>
    <row r="22" spans="1:15" x14ac:dyDescent="0.25">
      <c r="A22" s="59" t="s">
        <v>7</v>
      </c>
      <c r="B22" s="254"/>
      <c r="C22" s="63"/>
      <c r="D22" s="470"/>
      <c r="E22" s="470"/>
      <c r="F22" s="254"/>
      <c r="G22" s="76"/>
      <c r="H22" s="76"/>
      <c r="I22" s="464"/>
      <c r="J22" s="464"/>
      <c r="K22" s="18"/>
      <c r="L22" s="18"/>
      <c r="M22" s="15"/>
      <c r="N22" s="76"/>
      <c r="O22" s="467"/>
    </row>
    <row r="23" spans="1:15" x14ac:dyDescent="0.25">
      <c r="A23" s="85" t="s">
        <v>11</v>
      </c>
      <c r="B23" s="253"/>
      <c r="C23" s="93"/>
      <c r="D23" s="474"/>
      <c r="E23" s="474"/>
      <c r="F23" s="253"/>
      <c r="G23" s="183"/>
      <c r="H23" s="183"/>
      <c r="I23" s="465"/>
      <c r="J23" s="465"/>
      <c r="K23" s="92"/>
      <c r="L23" s="92"/>
      <c r="M23" s="90"/>
      <c r="N23" s="183"/>
      <c r="O23" s="468"/>
    </row>
    <row r="24" spans="1:15" x14ac:dyDescent="0.25">
      <c r="A24" s="59" t="s">
        <v>2</v>
      </c>
      <c r="B24" s="254"/>
      <c r="C24" s="63"/>
      <c r="D24" s="470"/>
      <c r="E24" s="470"/>
      <c r="F24" s="254"/>
      <c r="G24" s="76"/>
      <c r="H24" s="76"/>
      <c r="I24" s="464"/>
      <c r="J24" s="464"/>
      <c r="K24" s="18"/>
      <c r="L24" s="18"/>
      <c r="M24" s="15"/>
      <c r="N24" s="76"/>
      <c r="O24" s="467"/>
    </row>
    <row r="25" spans="1:15" x14ac:dyDescent="0.25">
      <c r="A25" s="85" t="s">
        <v>1</v>
      </c>
      <c r="B25" s="253"/>
      <c r="C25" s="93"/>
      <c r="D25" s="474"/>
      <c r="E25" s="474"/>
      <c r="F25" s="253"/>
      <c r="G25" s="183"/>
      <c r="H25" s="183"/>
      <c r="I25" s="465"/>
      <c r="J25" s="465"/>
      <c r="K25" s="92"/>
      <c r="L25" s="92"/>
      <c r="M25" s="90"/>
      <c r="N25" s="183"/>
      <c r="O25" s="468"/>
    </row>
    <row r="26" spans="1:15" ht="15.75" thickBot="1" x14ac:dyDescent="0.3">
      <c r="A26" s="466" t="s">
        <v>9</v>
      </c>
      <c r="B26" s="254"/>
      <c r="C26" s="63"/>
      <c r="D26" s="470"/>
      <c r="E26" s="470"/>
      <c r="F26" s="254"/>
      <c r="G26" s="76"/>
      <c r="H26" s="76"/>
      <c r="I26" s="464"/>
      <c r="J26" s="464"/>
      <c r="K26" s="18"/>
      <c r="L26" s="18"/>
      <c r="M26" s="15"/>
      <c r="N26" s="76"/>
      <c r="O26" s="469"/>
    </row>
    <row r="27" spans="1:15" ht="15.75" thickBot="1" x14ac:dyDescent="0.3">
      <c r="A27" s="60" t="s">
        <v>2</v>
      </c>
      <c r="B27" s="255">
        <v>10500</v>
      </c>
      <c r="C27" s="94">
        <f t="shared" si="13"/>
        <v>157.02606700311389</v>
      </c>
      <c r="D27" s="471">
        <f>Prestazioni!F27/('TO &amp; LD'!E27*Prestazioni!E10)</f>
        <v>2.0167305811059202</v>
      </c>
      <c r="E27" s="471">
        <f t="shared" si="14"/>
        <v>280</v>
      </c>
      <c r="F27" s="255">
        <v>6500</v>
      </c>
      <c r="G27" s="478">
        <f t="shared" ref="G27" si="18">G10</f>
        <v>0</v>
      </c>
      <c r="H27" s="478">
        <f t="shared" ref="H27" si="19">H10</f>
        <v>0</v>
      </c>
      <c r="I27" s="483">
        <f t="shared" si="15"/>
        <v>109.63225241337865</v>
      </c>
      <c r="J27" s="483">
        <f>SQRT(F27/0.32)</f>
        <v>142.52192813739225</v>
      </c>
      <c r="K27" s="21">
        <f t="shared" ref="K27:L27" si="20">K10*3.6*0.539956803456</f>
        <v>134.84767046852511</v>
      </c>
      <c r="L27" s="21">
        <f t="shared" si="20"/>
        <v>126.07709027545029</v>
      </c>
      <c r="M27" s="16">
        <f t="shared" si="17"/>
        <v>0.7</v>
      </c>
      <c r="N27" s="478">
        <f t="shared" ref="N27:O27" si="21">N10</f>
        <v>1.7137439440402766</v>
      </c>
      <c r="O27" s="484">
        <f t="shared" si="21"/>
        <v>2.8962272654280676</v>
      </c>
    </row>
    <row r="29" spans="1:15" x14ac:dyDescent="0.25">
      <c r="N29" s="72">
        <f t="shared" ref="N29:O29" si="22">AVERAGE(N20:N26)</f>
        <v>1.583643967411521</v>
      </c>
      <c r="O29" s="72">
        <f t="shared" si="22"/>
        <v>2.6763583049254702</v>
      </c>
    </row>
  </sheetData>
  <sortState ref="A21:M26">
    <sortCondition ref="A20"/>
  </sortState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22" sqref="B22:I26"/>
    </sheetView>
  </sheetViews>
  <sheetFormatPr defaultColWidth="15.140625" defaultRowHeight="15" x14ac:dyDescent="0.25"/>
  <cols>
    <col min="1" max="1" width="17.7109375" customWidth="1"/>
    <col min="2" max="2" width="20.7109375" customWidth="1"/>
    <col min="6" max="6" width="17.5703125" customWidth="1"/>
    <col min="7" max="7" width="16.42578125" customWidth="1"/>
    <col min="9" max="9" width="21.28515625" customWidth="1"/>
  </cols>
  <sheetData>
    <row r="1" spans="1:9" ht="19.5" thickBot="1" x14ac:dyDescent="0.35">
      <c r="A1" s="12" t="s">
        <v>0</v>
      </c>
      <c r="B1" s="7"/>
      <c r="C1" s="26"/>
      <c r="D1" s="10" t="s">
        <v>31</v>
      </c>
      <c r="E1" s="8"/>
      <c r="F1" s="8"/>
      <c r="G1" s="8"/>
      <c r="H1" s="96"/>
      <c r="I1" s="28"/>
    </row>
    <row r="2" spans="1:9" ht="15.75" thickBot="1" x14ac:dyDescent="0.3">
      <c r="A2" s="75"/>
      <c r="B2" s="22" t="s">
        <v>6</v>
      </c>
      <c r="C2" s="24" t="s">
        <v>44</v>
      </c>
      <c r="D2" s="23" t="s">
        <v>8</v>
      </c>
      <c r="E2" s="23" t="s">
        <v>43</v>
      </c>
      <c r="F2" s="23" t="s">
        <v>94</v>
      </c>
      <c r="G2" s="23" t="s">
        <v>93</v>
      </c>
      <c r="H2" s="23" t="s">
        <v>38</v>
      </c>
      <c r="I2" s="25" t="s">
        <v>23</v>
      </c>
    </row>
    <row r="3" spans="1:9" x14ac:dyDescent="0.25">
      <c r="A3" s="88" t="s">
        <v>10</v>
      </c>
      <c r="B3" s="209">
        <v>10830</v>
      </c>
      <c r="C3" s="20">
        <v>2</v>
      </c>
      <c r="D3" s="36">
        <v>305</v>
      </c>
      <c r="E3" s="36">
        <f>(D3*C3)/'Pesi e Geometrie'!E4*1000/9.81</f>
        <v>0.26460190426616348</v>
      </c>
      <c r="F3" s="140">
        <f>'Pesi e Geometrie'!E4/'Pesi e Geometrie'!O4</f>
        <v>649.88938053097343</v>
      </c>
      <c r="G3" s="140">
        <f>'Pesi e Geometrie'!I4/'Pesi e Geometrie'!O4</f>
        <v>517.14601769911496</v>
      </c>
      <c r="H3" s="36">
        <v>0.82</v>
      </c>
      <c r="I3" s="217">
        <v>10668</v>
      </c>
    </row>
    <row r="4" spans="1:9" x14ac:dyDescent="0.25">
      <c r="A4" s="85" t="s">
        <v>14</v>
      </c>
      <c r="B4" s="210">
        <v>13890</v>
      </c>
      <c r="C4" s="92">
        <v>4</v>
      </c>
      <c r="D4" s="84">
        <v>260</v>
      </c>
      <c r="E4" s="84">
        <f>(D4*C4)/'Pesi e Geometrie'!E5*1000/9.81</f>
        <v>0.2904500579503721</v>
      </c>
      <c r="F4" s="192">
        <f>'Pesi e Geometrie'!E5/'Pesi e Geometrie'!O5</f>
        <v>835.24027459954232</v>
      </c>
      <c r="G4" s="194">
        <f>'Pesi e Geometrie'!I5/'Pesi e Geometrie'!O5</f>
        <v>585.81235697940508</v>
      </c>
      <c r="H4" s="84" t="s">
        <v>16</v>
      </c>
      <c r="I4" s="218">
        <v>10668</v>
      </c>
    </row>
    <row r="5" spans="1:9" x14ac:dyDescent="0.25">
      <c r="A5" s="59" t="s">
        <v>7</v>
      </c>
      <c r="B5" s="211"/>
      <c r="C5" s="18"/>
      <c r="D5" s="39"/>
      <c r="E5" s="39"/>
      <c r="F5" s="141"/>
      <c r="G5" s="191"/>
      <c r="H5" s="39"/>
      <c r="I5" s="219"/>
    </row>
    <row r="6" spans="1:9" x14ac:dyDescent="0.25">
      <c r="A6" s="85" t="s">
        <v>11</v>
      </c>
      <c r="B6" s="210"/>
      <c r="C6" s="92"/>
      <c r="D6" s="84"/>
      <c r="E6" s="84"/>
      <c r="F6" s="192"/>
      <c r="G6" s="194"/>
      <c r="H6" s="84"/>
      <c r="I6" s="218"/>
    </row>
    <row r="7" spans="1:9" x14ac:dyDescent="0.25">
      <c r="A7" s="59" t="s">
        <v>2</v>
      </c>
      <c r="B7" s="211"/>
      <c r="C7" s="18"/>
      <c r="D7" s="39"/>
      <c r="E7" s="39"/>
      <c r="F7" s="141"/>
      <c r="G7" s="191"/>
      <c r="H7" s="39"/>
      <c r="I7" s="219"/>
    </row>
    <row r="8" spans="1:9" x14ac:dyDescent="0.25">
      <c r="A8" s="89" t="s">
        <v>9</v>
      </c>
      <c r="B8" s="210"/>
      <c r="C8" s="92"/>
      <c r="D8" s="84"/>
      <c r="E8" s="84"/>
      <c r="F8" s="192"/>
      <c r="G8" s="194"/>
      <c r="H8" s="84"/>
      <c r="I8" s="218"/>
    </row>
    <row r="9" spans="1:9" ht="15.75" thickBot="1" x14ac:dyDescent="0.3">
      <c r="A9" s="61" t="s">
        <v>1</v>
      </c>
      <c r="B9" s="211"/>
      <c r="C9" s="18"/>
      <c r="D9" s="39"/>
      <c r="E9" s="39"/>
      <c r="F9" s="141"/>
      <c r="G9" s="191"/>
      <c r="H9" s="39"/>
      <c r="I9" s="219"/>
    </row>
    <row r="10" spans="1:9" ht="15.75" thickBot="1" x14ac:dyDescent="0.3">
      <c r="A10" s="60" t="s">
        <v>2</v>
      </c>
      <c r="B10" s="212">
        <v>14816</v>
      </c>
      <c r="C10" s="82">
        <v>2</v>
      </c>
      <c r="D10" s="103">
        <v>514</v>
      </c>
      <c r="E10" s="41">
        <f>(D10*C10)/'Pesi e Geometrie'!E11*1000/9.81</f>
        <v>0.29809727553792037</v>
      </c>
      <c r="F10" s="193">
        <f>'Pesi e Geometrie'!E11/'Pesi e Geometrie'!O11</f>
        <v>821.72276764843377</v>
      </c>
      <c r="G10" s="203">
        <f>'Pesi e Geometrie'!I11/'Pesi e Geometrie'!O11</f>
        <v>555.58672276764844</v>
      </c>
      <c r="H10" s="81">
        <v>0.84</v>
      </c>
      <c r="I10" s="220">
        <v>10668</v>
      </c>
    </row>
    <row r="11" spans="1:9" x14ac:dyDescent="0.25">
      <c r="A11" s="1"/>
      <c r="B11" s="1"/>
      <c r="C11" s="2"/>
      <c r="D11" s="1"/>
      <c r="E11" s="1"/>
      <c r="F11" s="65"/>
      <c r="G11" s="65"/>
      <c r="H11" s="1"/>
      <c r="I11" s="2"/>
    </row>
    <row r="12" spans="1:9" x14ac:dyDescent="0.25">
      <c r="A12" s="1" t="s">
        <v>26</v>
      </c>
      <c r="B12" s="47">
        <f t="shared" ref="B12" si="0">AVERAGE(B3:B9)</f>
        <v>12360</v>
      </c>
      <c r="C12" s="2"/>
      <c r="D12" s="48">
        <f>AVERAGE(D3:D9)</f>
        <v>282.5</v>
      </c>
      <c r="E12" s="1">
        <f>AVERAGE(E3:E9)</f>
        <v>0.27752598110826776</v>
      </c>
      <c r="F12" s="147">
        <f>AVERAGE(F2:F9)</f>
        <v>742.56482756525793</v>
      </c>
      <c r="G12" s="147">
        <f>AVERAGE(G2:G9)</f>
        <v>551.47918733926008</v>
      </c>
      <c r="H12" s="44">
        <f>AVERAGE(H3:H9)</f>
        <v>0.82</v>
      </c>
      <c r="I12" s="46">
        <f>AVERAGE(I3:I9)</f>
        <v>10668</v>
      </c>
    </row>
    <row r="13" spans="1:9" x14ac:dyDescent="0.25">
      <c r="A13" s="1" t="s">
        <v>27</v>
      </c>
      <c r="B13" s="51">
        <f>B12*0.53996</f>
        <v>6673.9056</v>
      </c>
      <c r="C13" s="2"/>
      <c r="D13" s="43">
        <f>D12*225</f>
        <v>63562.5</v>
      </c>
      <c r="E13" s="43"/>
      <c r="F13" s="146">
        <f>AVERAGE(F20:F26)</f>
        <v>152.11975695603218</v>
      </c>
      <c r="G13" s="146">
        <f>AVERAGE(G20:G26)</f>
        <v>112.9746734310328</v>
      </c>
      <c r="H13" s="1"/>
      <c r="I13" s="50">
        <f>I12*3.2808</f>
        <v>34999.574400000005</v>
      </c>
    </row>
    <row r="14" spans="1:9" x14ac:dyDescent="0.25">
      <c r="C14" s="62"/>
      <c r="F14" s="65"/>
      <c r="G14" s="65"/>
    </row>
    <row r="15" spans="1:9" x14ac:dyDescent="0.25">
      <c r="C15" s="62"/>
      <c r="F15" s="65"/>
      <c r="G15" s="65"/>
    </row>
    <row r="16" spans="1:9" x14ac:dyDescent="0.25">
      <c r="C16" s="62"/>
      <c r="F16" s="65"/>
      <c r="G16" s="65"/>
    </row>
    <row r="17" spans="1:9" ht="15.75" thickBot="1" x14ac:dyDescent="0.3">
      <c r="C17" s="62"/>
      <c r="F17" s="65"/>
      <c r="G17" s="65"/>
    </row>
    <row r="18" spans="1:9" ht="19.5" thickBot="1" x14ac:dyDescent="0.35">
      <c r="A18" s="11" t="s">
        <v>0</v>
      </c>
      <c r="B18" s="7"/>
      <c r="C18" s="26"/>
      <c r="D18" s="10" t="s">
        <v>31</v>
      </c>
      <c r="E18" s="8"/>
      <c r="F18" s="71"/>
      <c r="G18" s="71"/>
      <c r="H18" s="96"/>
      <c r="I18" s="28"/>
    </row>
    <row r="19" spans="1:9" ht="15.75" thickBot="1" x14ac:dyDescent="0.3">
      <c r="A19" s="75"/>
      <c r="B19" s="22" t="s">
        <v>6</v>
      </c>
      <c r="C19" s="24"/>
      <c r="D19" s="23" t="s">
        <v>47</v>
      </c>
      <c r="E19" s="23" t="s">
        <v>43</v>
      </c>
      <c r="F19" s="105" t="s">
        <v>94</v>
      </c>
      <c r="G19" s="105" t="s">
        <v>93</v>
      </c>
      <c r="H19" s="23" t="s">
        <v>38</v>
      </c>
      <c r="I19" s="25" t="s">
        <v>23</v>
      </c>
    </row>
    <row r="20" spans="1:9" x14ac:dyDescent="0.25">
      <c r="A20" s="88" t="s">
        <v>10</v>
      </c>
      <c r="B20" s="205">
        <v>5850</v>
      </c>
      <c r="C20" s="20">
        <v>2</v>
      </c>
      <c r="D20" s="19">
        <f t="shared" ref="D20:D26" si="1">D3*1000/9.81*2.20462262184877</f>
        <v>68543.31291170996</v>
      </c>
      <c r="E20" s="19">
        <f>(D3*C3)/'Pesi e Geometrie'!E4*1000/9.81</f>
        <v>0.26460190426616348</v>
      </c>
      <c r="F20" s="143">
        <f>'Pesi e Geometrie'!E21/'Pesi e Geometrie'!O21</f>
        <v>133.1384892086331</v>
      </c>
      <c r="G20" s="143">
        <f>'Pesi e Geometrie'!I21/'Pesi e Geometrie'!O21</f>
        <v>105.94424460431655</v>
      </c>
      <c r="H20" s="19">
        <v>0.82</v>
      </c>
      <c r="I20" s="213">
        <v>35000</v>
      </c>
    </row>
    <row r="21" spans="1:9" x14ac:dyDescent="0.25">
      <c r="A21" s="85" t="s">
        <v>14</v>
      </c>
      <c r="B21" s="206">
        <v>7500</v>
      </c>
      <c r="C21" s="92">
        <v>4</v>
      </c>
      <c r="D21" s="90">
        <f t="shared" si="1"/>
        <v>58430.365105064237</v>
      </c>
      <c r="E21" s="90">
        <f>(D4*C4)/'Pesi e Geometrie'!E5*1000/9.81</f>
        <v>0.2904500579503721</v>
      </c>
      <c r="F21" s="196">
        <f>'Pesi e Geometrie'!E22/'Pesi e Geometrie'!O22</f>
        <v>171.10102470343125</v>
      </c>
      <c r="G21" s="198">
        <f>'Pesi e Geometrie'!I22/'Pesi e Geometrie'!O22</f>
        <v>120.00510225774904</v>
      </c>
      <c r="H21" s="102" t="s">
        <v>16</v>
      </c>
      <c r="I21" s="214">
        <v>35000</v>
      </c>
    </row>
    <row r="22" spans="1:9" x14ac:dyDescent="0.25">
      <c r="A22" s="59" t="s">
        <v>7</v>
      </c>
      <c r="B22" s="207"/>
      <c r="C22" s="18"/>
      <c r="D22" s="15"/>
      <c r="E22" s="15"/>
      <c r="F22" s="144"/>
      <c r="G22" s="195"/>
      <c r="H22" s="15"/>
      <c r="I22" s="215"/>
    </row>
    <row r="23" spans="1:9" x14ac:dyDescent="0.25">
      <c r="A23" s="85" t="s">
        <v>11</v>
      </c>
      <c r="B23" s="206"/>
      <c r="C23" s="92"/>
      <c r="D23" s="90"/>
      <c r="E23" s="90"/>
      <c r="F23" s="196"/>
      <c r="G23" s="198"/>
      <c r="H23" s="102"/>
      <c r="I23" s="214"/>
    </row>
    <row r="24" spans="1:9" x14ac:dyDescent="0.25">
      <c r="A24" s="59" t="s">
        <v>2</v>
      </c>
      <c r="B24" s="207"/>
      <c r="C24" s="18"/>
      <c r="D24" s="15"/>
      <c r="E24" s="15"/>
      <c r="F24" s="144"/>
      <c r="G24" s="195"/>
      <c r="H24" s="15"/>
      <c r="I24" s="215"/>
    </row>
    <row r="25" spans="1:9" x14ac:dyDescent="0.25">
      <c r="A25" s="89" t="s">
        <v>9</v>
      </c>
      <c r="B25" s="206"/>
      <c r="C25" s="92"/>
      <c r="D25" s="90"/>
      <c r="E25" s="90"/>
      <c r="F25" s="196"/>
      <c r="G25" s="198"/>
      <c r="H25" s="90"/>
      <c r="I25" s="214"/>
    </row>
    <row r="26" spans="1:9" ht="15.75" thickBot="1" x14ac:dyDescent="0.3">
      <c r="A26" s="61" t="s">
        <v>1</v>
      </c>
      <c r="B26" s="207"/>
      <c r="C26" s="18"/>
      <c r="D26" s="15"/>
      <c r="E26" s="15"/>
      <c r="F26" s="144"/>
      <c r="G26" s="195"/>
      <c r="H26" s="15"/>
      <c r="I26" s="215"/>
    </row>
    <row r="27" spans="1:9" ht="15.75" thickBot="1" x14ac:dyDescent="0.3">
      <c r="A27" s="60" t="s">
        <v>2</v>
      </c>
      <c r="B27" s="208">
        <v>8000</v>
      </c>
      <c r="C27" s="82">
        <v>2</v>
      </c>
      <c r="D27" s="104">
        <f>D10*1000/9.81*2.20462262184877</f>
        <v>115512.33716924238</v>
      </c>
      <c r="E27" s="16">
        <f>(D10*C10)/'Pesi e Geometrie'!E11*1000/9.81</f>
        <v>0.29809727553792037</v>
      </c>
      <c r="F27" s="197">
        <f>'Pesi e Geometrie'!E28/'Pesi e Geometrie'!O28</f>
        <v>168.33092968207089</v>
      </c>
      <c r="G27" s="204">
        <f>'Pesi e Geometrie'!I28/'Pesi e Geometrie'!O28</f>
        <v>113.81263029881862</v>
      </c>
      <c r="H27" s="91">
        <v>0.84</v>
      </c>
      <c r="I27" s="216">
        <v>35000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J10" sqref="J10"/>
    </sheetView>
  </sheetViews>
  <sheetFormatPr defaultRowHeight="15" x14ac:dyDescent="0.25"/>
  <cols>
    <col min="1" max="1" width="38.5703125" customWidth="1"/>
    <col min="15" max="15" width="0" hidden="1" customWidth="1"/>
  </cols>
  <sheetData>
    <row r="1" spans="1:16" x14ac:dyDescent="0.25">
      <c r="B1" t="s">
        <v>5</v>
      </c>
      <c r="D1" t="s">
        <v>164</v>
      </c>
      <c r="E1" s="166" t="s">
        <v>187</v>
      </c>
      <c r="F1" s="166" t="s">
        <v>188</v>
      </c>
      <c r="G1" t="s">
        <v>178</v>
      </c>
      <c r="H1" t="s">
        <v>179</v>
      </c>
      <c r="I1" t="s">
        <v>19</v>
      </c>
      <c r="J1" t="s">
        <v>180</v>
      </c>
      <c r="K1" t="s">
        <v>181</v>
      </c>
      <c r="L1" t="s">
        <v>182</v>
      </c>
      <c r="M1" t="s">
        <v>183</v>
      </c>
      <c r="N1" t="s">
        <v>185</v>
      </c>
      <c r="O1" t="s">
        <v>184</v>
      </c>
      <c r="P1" t="s">
        <v>186</v>
      </c>
    </row>
    <row r="2" spans="1:16" x14ac:dyDescent="0.25">
      <c r="B2">
        <v>8.6999999999999993</v>
      </c>
      <c r="D2">
        <v>0.8</v>
      </c>
      <c r="E2">
        <v>0.78</v>
      </c>
      <c r="F2">
        <v>0.73</v>
      </c>
      <c r="G2">
        <v>1.2250000000000001</v>
      </c>
      <c r="H2">
        <v>9.81</v>
      </c>
      <c r="I2">
        <v>427.8</v>
      </c>
      <c r="J2">
        <v>351533</v>
      </c>
      <c r="K2">
        <v>251290</v>
      </c>
      <c r="L2">
        <v>1.9900000000000001E-2</v>
      </c>
      <c r="M2">
        <v>1.2E-2</v>
      </c>
      <c r="N2">
        <v>6.3E-2</v>
      </c>
      <c r="O2">
        <v>0.02</v>
      </c>
      <c r="P2">
        <v>5.0000000000000001E-3</v>
      </c>
    </row>
    <row r="3" spans="1:16" x14ac:dyDescent="0.25">
      <c r="E3" t="s">
        <v>192</v>
      </c>
    </row>
    <row r="4" spans="1:16" x14ac:dyDescent="0.25">
      <c r="E4">
        <f>(E2+F2)/2</f>
        <v>0.755</v>
      </c>
    </row>
    <row r="5" spans="1:16" x14ac:dyDescent="0.25">
      <c r="A5" t="s">
        <v>165</v>
      </c>
      <c r="M5" t="s">
        <v>117</v>
      </c>
      <c r="O5" t="s">
        <v>191</v>
      </c>
      <c r="P5" t="s">
        <v>189</v>
      </c>
    </row>
    <row r="6" spans="1:16" x14ac:dyDescent="0.25">
      <c r="B6" t="s">
        <v>166</v>
      </c>
      <c r="C6" t="s">
        <v>167</v>
      </c>
      <c r="D6" t="s">
        <v>168</v>
      </c>
      <c r="E6" s="3" t="s">
        <v>171</v>
      </c>
      <c r="F6" t="s">
        <v>190</v>
      </c>
      <c r="G6" t="s">
        <v>170</v>
      </c>
      <c r="H6" t="s">
        <v>169</v>
      </c>
      <c r="I6" t="s">
        <v>195</v>
      </c>
      <c r="M6" s="173">
        <f>'TO &amp; LD'!J10</f>
        <v>73.319614141791973</v>
      </c>
      <c r="N6" s="173"/>
      <c r="O6">
        <v>514000</v>
      </c>
      <c r="P6">
        <v>1028000</v>
      </c>
    </row>
    <row r="7" spans="1:16" ht="15.75" x14ac:dyDescent="0.25">
      <c r="A7" s="542" t="s">
        <v>172</v>
      </c>
      <c r="B7">
        <f>2*J$2*H$2/(G$2*I$2*E7*E7)</f>
        <v>1.400612651085364</v>
      </c>
      <c r="C7">
        <f>L$2+M$2+P2+((B7*B7)/(3.1421*B$2*E$2))</f>
        <v>0.12890305141607872</v>
      </c>
      <c r="D7">
        <f>B7/C7</f>
        <v>10.865628359443621</v>
      </c>
      <c r="E7" s="3">
        <f>1.2*M8</f>
        <v>96.935999999999993</v>
      </c>
      <c r="F7">
        <v>1.2E-2</v>
      </c>
      <c r="G7">
        <f>(O$6-(C7*I$2*G$2*E7*E7*0.5))/(K$2*H$2)</f>
        <v>7.9759484686154569E-2</v>
      </c>
      <c r="H7">
        <f>4/3*(G7+1/D7)</f>
        <v>0.22905709109995392</v>
      </c>
      <c r="I7">
        <f>4/3*(F7+1/D7)</f>
        <v>0.13871111151841448</v>
      </c>
      <c r="M7" t="s">
        <v>116</v>
      </c>
      <c r="N7" t="s">
        <v>193</v>
      </c>
      <c r="P7" t="s">
        <v>194</v>
      </c>
    </row>
    <row r="8" spans="1:16" ht="15.75" x14ac:dyDescent="0.25">
      <c r="A8" s="542" t="s">
        <v>173</v>
      </c>
      <c r="B8">
        <f t="shared" ref="B8:B10" si="0">2*J$2*H$2/(G$2*I$2*E8*E8)</f>
        <v>1.6668448079032427</v>
      </c>
      <c r="C8">
        <f>L$2+M$2+O2+P2+((B8*B8)/(3.1421*B$2*E$2))</f>
        <v>0.1872036182066667</v>
      </c>
      <c r="D8">
        <f t="shared" ref="D8:D12" si="1">B8/C8</f>
        <v>8.9039134172241283</v>
      </c>
      <c r="E8" s="3">
        <f>1.1*M8</f>
        <v>88.858000000000004</v>
      </c>
      <c r="F8">
        <v>0</v>
      </c>
      <c r="G8">
        <f t="shared" ref="G8:G9" si="2">(O$6-(C8*I$2*G$2*E8*E8*0.5))/(K$2*H$2)</f>
        <v>5.1393947061277499E-2</v>
      </c>
      <c r="H8">
        <f t="shared" ref="H8:H12" si="3">4/3*(G8+1/D8)</f>
        <v>0.21827215165612526</v>
      </c>
      <c r="I8">
        <f t="shared" ref="I8:I12" si="4">4/3*(F8+1/D8)</f>
        <v>0.14974688890775528</v>
      </c>
      <c r="M8" s="72">
        <v>80.78</v>
      </c>
      <c r="N8" s="72">
        <v>0.8</v>
      </c>
      <c r="P8">
        <v>1.06</v>
      </c>
    </row>
    <row r="9" spans="1:16" ht="15.75" x14ac:dyDescent="0.25">
      <c r="A9" s="542" t="s">
        <v>174</v>
      </c>
      <c r="B9">
        <f t="shared" si="0"/>
        <v>1.400612651085364</v>
      </c>
      <c r="C9">
        <f>L$2+P2+M$2+((B9*B9)/(3.1421*B$2*E$2))</f>
        <v>0.12890305141607872</v>
      </c>
      <c r="D9">
        <f t="shared" si="1"/>
        <v>10.865628359443621</v>
      </c>
      <c r="E9" s="3">
        <f>1.2*M8</f>
        <v>96.935999999999993</v>
      </c>
      <c r="F9">
        <v>2.4E-2</v>
      </c>
      <c r="G9">
        <f t="shared" si="2"/>
        <v>7.9759484686154569E-2</v>
      </c>
      <c r="H9">
        <f t="shared" si="3"/>
        <v>0.22905709109995392</v>
      </c>
      <c r="I9">
        <f t="shared" si="4"/>
        <v>0.15471111151841449</v>
      </c>
    </row>
    <row r="10" spans="1:16" ht="15.75" x14ac:dyDescent="0.25">
      <c r="A10" s="542" t="s">
        <v>177</v>
      </c>
      <c r="B10">
        <f t="shared" si="0"/>
        <v>1.2908046192402713</v>
      </c>
      <c r="C10">
        <f>L$2+P$2+((B10*B10)/(3.1421*B$2*D$2))</f>
        <v>0.10108891334900583</v>
      </c>
      <c r="D10">
        <f t="shared" si="1"/>
        <v>12.769002816202159</v>
      </c>
      <c r="E10" s="3">
        <f>1.25*M8</f>
        <v>100.97499999999999</v>
      </c>
      <c r="F10">
        <v>1.2E-2</v>
      </c>
      <c r="G10">
        <f>(0.9*O$6-(C10*I$2*G$2*E10*E10*0.5))/(K$2*H$2)</f>
        <v>7.8100119662098247E-2</v>
      </c>
      <c r="H10">
        <f t="shared" si="3"/>
        <v>0.20855302763624853</v>
      </c>
      <c r="I10">
        <f t="shared" si="4"/>
        <v>0.12041953475345087</v>
      </c>
    </row>
    <row r="11" spans="1:16" ht="15.75" x14ac:dyDescent="0.25">
      <c r="A11" s="542" t="s">
        <v>176</v>
      </c>
      <c r="B11">
        <f>2*K2*H$2/(G$2*I$2*E11*E11)</f>
        <v>0.85310588557264921</v>
      </c>
      <c r="C11">
        <f>L$2+N$2+O2+((B11*B11)/(3.1421*B$2*F$2))</f>
        <v>0.13937067160317074</v>
      </c>
      <c r="D11">
        <f t="shared" si="1"/>
        <v>6.1211291856416707</v>
      </c>
      <c r="E11" s="3">
        <f>1.3*M8</f>
        <v>105.01400000000001</v>
      </c>
      <c r="F11">
        <v>3.2000000000000001E-2</v>
      </c>
      <c r="G11">
        <f>(P$6-(C11*I$2*G$2*E11*E11*0.5))/(K$2*H$2)</f>
        <v>0.25364378450555347</v>
      </c>
      <c r="H11">
        <f t="shared" si="3"/>
        <v>0.55601644613353374</v>
      </c>
      <c r="I11">
        <f t="shared" si="4"/>
        <v>0.26049140012612909</v>
      </c>
    </row>
    <row r="12" spans="1:16" ht="15.75" x14ac:dyDescent="0.25">
      <c r="A12" s="542" t="s">
        <v>175</v>
      </c>
      <c r="B12">
        <f>2*K$2*H$2/(G$2*I$2*E12*E12)</f>
        <v>0.77781171655971093</v>
      </c>
      <c r="C12">
        <f>L$2+N$2+O2+P2+((B12*B12)/(3.1421*B$2*E$4))</f>
        <v>0.13721316784446966</v>
      </c>
      <c r="D12">
        <f t="shared" si="1"/>
        <v>5.6686375570117011</v>
      </c>
      <c r="E12" s="3">
        <f>1.5*M6</f>
        <v>109.97942121268795</v>
      </c>
      <c r="F12">
        <v>2.1000000000000001E-2</v>
      </c>
      <c r="G12">
        <f>(O$6-(C12*I$2*G$2*E12*E12*0.5))/(K$2*H$2)</f>
        <v>3.2096934932930539E-2</v>
      </c>
      <c r="H12">
        <f t="shared" si="3"/>
        <v>0.27800822306676681</v>
      </c>
      <c r="I12">
        <f t="shared" si="4"/>
        <v>0.26321230982285942</v>
      </c>
    </row>
    <row r="14" spans="1:16" ht="15.75" thickBot="1" x14ac:dyDescent="0.3"/>
    <row r="15" spans="1:16" x14ac:dyDescent="0.25">
      <c r="B15" s="543" t="s">
        <v>5</v>
      </c>
      <c r="C15" s="14" t="s">
        <v>163</v>
      </c>
      <c r="D15" s="101" t="s">
        <v>164</v>
      </c>
    </row>
    <row r="16" spans="1:16" ht="15.75" thickBot="1" x14ac:dyDescent="0.3">
      <c r="B16" s="544">
        <v>8.6999999999999993</v>
      </c>
      <c r="C16" s="545">
        <v>31.5</v>
      </c>
      <c r="D16" s="546">
        <f>4.61*(1-0.045*B16^0.68)*(COS(C16))^0.15-3.1</f>
        <v>0.6048277228432104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B1" workbookViewId="0">
      <selection activeCell="H16" sqref="H16"/>
    </sheetView>
  </sheetViews>
  <sheetFormatPr defaultRowHeight="15" x14ac:dyDescent="0.25"/>
  <cols>
    <col min="1" max="1" width="25.85546875" customWidth="1"/>
    <col min="2" max="2" width="17.7109375" customWidth="1"/>
    <col min="3" max="5" width="7.42578125" customWidth="1"/>
    <col min="6" max="7" width="8.140625" customWidth="1"/>
    <col min="8" max="8" width="9.7109375" customWidth="1"/>
    <col min="9" max="9" width="14.7109375" customWidth="1"/>
    <col min="10" max="10" width="20" customWidth="1"/>
    <col min="11" max="12" width="8.42578125" customWidth="1"/>
    <col min="13" max="14" width="8.5703125" customWidth="1"/>
    <col min="15" max="16" width="8.28515625" customWidth="1"/>
    <col min="17" max="18" width="7.140625" customWidth="1"/>
  </cols>
  <sheetData>
    <row r="1" spans="1:18" ht="27" customHeight="1" thickBot="1" x14ac:dyDescent="0.3">
      <c r="A1" s="562" t="s">
        <v>0</v>
      </c>
      <c r="B1" s="565" t="s">
        <v>141</v>
      </c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</row>
    <row r="2" spans="1:18" ht="15.75" thickBot="1" x14ac:dyDescent="0.3">
      <c r="A2" s="563"/>
      <c r="B2" s="368" t="s">
        <v>78</v>
      </c>
      <c r="C2" s="560" t="s">
        <v>74</v>
      </c>
      <c r="D2" s="569"/>
      <c r="E2" s="561"/>
      <c r="F2" s="560" t="s">
        <v>79</v>
      </c>
      <c r="G2" s="561"/>
      <c r="H2" s="567" t="s">
        <v>80</v>
      </c>
      <c r="I2" s="567" t="s">
        <v>129</v>
      </c>
      <c r="J2" s="567" t="s">
        <v>130</v>
      </c>
      <c r="K2" s="567" t="s">
        <v>81</v>
      </c>
      <c r="L2" s="567" t="s">
        <v>131</v>
      </c>
      <c r="M2" s="560" t="s">
        <v>82</v>
      </c>
      <c r="N2" s="561"/>
      <c r="O2" s="560" t="s">
        <v>83</v>
      </c>
      <c r="P2" s="561"/>
      <c r="Q2" s="560" t="s">
        <v>84</v>
      </c>
      <c r="R2" s="561"/>
    </row>
    <row r="3" spans="1:18" ht="15.75" thickBot="1" x14ac:dyDescent="0.3">
      <c r="A3" s="564"/>
      <c r="B3" s="370"/>
      <c r="C3" s="371" t="s">
        <v>128</v>
      </c>
      <c r="D3" s="372" t="s">
        <v>98</v>
      </c>
      <c r="E3" s="373" t="s">
        <v>99</v>
      </c>
      <c r="F3" s="374" t="s">
        <v>98</v>
      </c>
      <c r="G3" s="368" t="s">
        <v>99</v>
      </c>
      <c r="H3" s="568"/>
      <c r="I3" s="568"/>
      <c r="J3" s="568"/>
      <c r="K3" s="568"/>
      <c r="L3" s="568"/>
      <c r="M3" s="375" t="s">
        <v>107</v>
      </c>
      <c r="N3" s="373" t="s">
        <v>132</v>
      </c>
      <c r="O3" s="375" t="s">
        <v>107</v>
      </c>
      <c r="P3" s="376" t="s">
        <v>132</v>
      </c>
      <c r="Q3" s="377" t="s">
        <v>107</v>
      </c>
      <c r="R3" s="378" t="s">
        <v>132</v>
      </c>
    </row>
    <row r="4" spans="1:18" x14ac:dyDescent="0.25">
      <c r="A4" s="434" t="s">
        <v>10</v>
      </c>
      <c r="B4" s="381" t="s">
        <v>85</v>
      </c>
      <c r="C4" s="419">
        <v>320</v>
      </c>
      <c r="D4" s="422">
        <f>C4*1000/9.81</f>
        <v>32619.775739041794</v>
      </c>
      <c r="E4" s="338">
        <f t="shared" ref="E4:E10" si="0">D4*2.20462262184877</f>
        <v>71914.295513925215</v>
      </c>
      <c r="F4" s="423">
        <v>5091</v>
      </c>
      <c r="G4" s="338">
        <f t="shared" ref="G4:G10" si="1">F4*2.20462262184877</f>
        <v>11223.733767832087</v>
      </c>
      <c r="H4" s="379">
        <f t="shared" ref="H4:H9" si="2">C4/F4*1000/9.81</f>
        <v>6.4073415319272815</v>
      </c>
      <c r="I4" s="380" t="s">
        <v>86</v>
      </c>
      <c r="J4" s="380" t="s">
        <v>142</v>
      </c>
      <c r="K4" s="428">
        <v>5</v>
      </c>
      <c r="L4" s="430">
        <v>33.6</v>
      </c>
      <c r="M4" s="426">
        <v>4.2417999999999996</v>
      </c>
      <c r="N4" s="294">
        <f t="shared" ref="N4:N10" si="3">M4*39.3700787401574</f>
        <v>166.99999999999966</v>
      </c>
      <c r="O4" s="426">
        <v>2.4384000000000001</v>
      </c>
      <c r="P4" s="417">
        <f t="shared" ref="P4:P10" si="4">O4*39.3700787401574</f>
        <v>95.999999999999815</v>
      </c>
      <c r="Q4" s="426">
        <v>2.8956</v>
      </c>
      <c r="R4" s="413">
        <f t="shared" ref="R4:R8" si="5">Q4*39.3700787401574</f>
        <v>113.99999999999977</v>
      </c>
    </row>
    <row r="5" spans="1:18" x14ac:dyDescent="0.25">
      <c r="A5" s="305" t="s">
        <v>14</v>
      </c>
      <c r="B5" s="436" t="s">
        <v>88</v>
      </c>
      <c r="C5" s="420">
        <v>260</v>
      </c>
      <c r="D5" s="424">
        <f t="shared" ref="D5:D10" si="6">C5*1000/9.81</f>
        <v>26503.567787971457</v>
      </c>
      <c r="E5" s="339">
        <f t="shared" si="0"/>
        <v>58430.365105064237</v>
      </c>
      <c r="F5" s="425">
        <v>4835</v>
      </c>
      <c r="G5" s="339">
        <f t="shared" si="1"/>
        <v>10659.350376638802</v>
      </c>
      <c r="H5" s="382">
        <f t="shared" si="2"/>
        <v>5.4816065745545925</v>
      </c>
      <c r="I5" s="383" t="s">
        <v>142</v>
      </c>
      <c r="J5" s="383">
        <v>0.54</v>
      </c>
      <c r="K5" s="429">
        <v>7.6</v>
      </c>
      <c r="L5" s="431">
        <v>36.299999999999997</v>
      </c>
      <c r="M5" s="427">
        <v>3.9</v>
      </c>
      <c r="N5" s="295">
        <f t="shared" si="3"/>
        <v>153.54330708661388</v>
      </c>
      <c r="O5" s="427">
        <v>2.5</v>
      </c>
      <c r="P5" s="418">
        <f t="shared" si="4"/>
        <v>98.425196850393505</v>
      </c>
      <c r="Q5" s="427" t="s">
        <v>142</v>
      </c>
      <c r="R5" s="433" t="s">
        <v>142</v>
      </c>
    </row>
    <row r="6" spans="1:18" x14ac:dyDescent="0.25">
      <c r="A6" s="305" t="s">
        <v>7</v>
      </c>
      <c r="B6" s="436" t="s">
        <v>89</v>
      </c>
      <c r="C6" s="420"/>
      <c r="D6" s="424"/>
      <c r="E6" s="339"/>
      <c r="F6" s="425"/>
      <c r="G6" s="339"/>
      <c r="H6" s="382"/>
      <c r="I6" s="383"/>
      <c r="J6" s="383"/>
      <c r="K6" s="429"/>
      <c r="L6" s="431"/>
      <c r="M6" s="427"/>
      <c r="N6" s="295"/>
      <c r="O6" s="427"/>
      <c r="P6" s="418"/>
      <c r="Q6" s="427"/>
      <c r="R6" s="433"/>
    </row>
    <row r="7" spans="1:18" x14ac:dyDescent="0.25">
      <c r="A7" s="305" t="s">
        <v>11</v>
      </c>
      <c r="B7" s="436" t="s">
        <v>90</v>
      </c>
      <c r="C7" s="420"/>
      <c r="D7" s="424"/>
      <c r="E7" s="339"/>
      <c r="F7" s="425"/>
      <c r="G7" s="339"/>
      <c r="H7" s="382"/>
      <c r="I7" s="383"/>
      <c r="J7" s="383"/>
      <c r="K7" s="429"/>
      <c r="L7" s="431"/>
      <c r="M7" s="427"/>
      <c r="N7" s="295"/>
      <c r="O7" s="427"/>
      <c r="P7" s="418"/>
      <c r="Q7" s="427"/>
      <c r="R7" s="414"/>
    </row>
    <row r="8" spans="1:18" x14ac:dyDescent="0.25">
      <c r="A8" s="305" t="s">
        <v>143</v>
      </c>
      <c r="B8" s="56" t="s">
        <v>133</v>
      </c>
      <c r="C8" s="421"/>
      <c r="D8" s="18"/>
      <c r="E8" s="270"/>
      <c r="F8" s="269"/>
      <c r="G8" s="270"/>
      <c r="H8" s="53"/>
      <c r="I8" s="384"/>
      <c r="J8" s="384"/>
      <c r="K8" s="305"/>
      <c r="L8" s="432"/>
      <c r="M8" s="38"/>
      <c r="N8" s="416"/>
      <c r="O8" s="38"/>
      <c r="P8" s="63"/>
      <c r="Q8" s="38"/>
      <c r="R8" s="415"/>
    </row>
    <row r="9" spans="1:18" x14ac:dyDescent="0.25">
      <c r="A9" s="384" t="s">
        <v>9</v>
      </c>
      <c r="B9" s="437" t="s">
        <v>92</v>
      </c>
      <c r="C9" s="420"/>
      <c r="D9" s="424"/>
      <c r="E9" s="339"/>
      <c r="F9" s="425"/>
      <c r="G9" s="339"/>
      <c r="H9" s="382"/>
      <c r="I9" s="383"/>
      <c r="J9" s="383"/>
      <c r="K9" s="429"/>
      <c r="L9" s="431"/>
      <c r="M9" s="427"/>
      <c r="N9" s="295"/>
      <c r="O9" s="427"/>
      <c r="P9" s="418"/>
      <c r="Q9" s="427"/>
      <c r="R9" s="433"/>
    </row>
    <row r="10" spans="1:18" ht="15.75" thickBot="1" x14ac:dyDescent="0.3">
      <c r="A10" s="435" t="s">
        <v>1</v>
      </c>
      <c r="B10" s="438" t="s">
        <v>87</v>
      </c>
      <c r="C10" s="439"/>
      <c r="D10" s="440"/>
      <c r="E10" s="441"/>
      <c r="F10" s="442"/>
      <c r="G10" s="441"/>
      <c r="H10" s="443"/>
      <c r="I10" s="444"/>
      <c r="J10" s="444"/>
      <c r="K10" s="445"/>
      <c r="L10" s="446"/>
      <c r="M10" s="447"/>
      <c r="N10" s="312"/>
      <c r="O10" s="447"/>
      <c r="P10" s="448"/>
      <c r="Q10" s="447"/>
      <c r="R10" s="449"/>
    </row>
    <row r="11" spans="1:18" s="3" customFormat="1" ht="15.75" thickBot="1" x14ac:dyDescent="0.3">
      <c r="A11" s="347" t="s">
        <v>77</v>
      </c>
      <c r="B11" s="450"/>
      <c r="C11" s="298">
        <f>AVERAGE(C4:C10)</f>
        <v>290</v>
      </c>
      <c r="D11" s="298">
        <f t="shared" ref="D11:F11" si="7">AVERAGE(D4:D10)</f>
        <v>29561.671763506623</v>
      </c>
      <c r="E11" s="298">
        <f t="shared" si="7"/>
        <v>65172.330309494726</v>
      </c>
      <c r="F11" s="298">
        <f t="shared" si="7"/>
        <v>4963</v>
      </c>
      <c r="G11" s="298">
        <f t="shared" ref="G11" si="8">AVERAGE(G4:G10)</f>
        <v>10941.542072235445</v>
      </c>
      <c r="H11" s="313">
        <f t="shared" ref="H11:I11" si="9">AVERAGE(H4:H10)</f>
        <v>5.9444740532409366</v>
      </c>
      <c r="I11" s="451" t="e">
        <f t="shared" si="9"/>
        <v>#DIV/0!</v>
      </c>
      <c r="J11" s="451">
        <f t="shared" ref="J11" si="10">AVERAGE(J4:J10)</f>
        <v>0.54</v>
      </c>
      <c r="K11" s="313">
        <f t="shared" ref="K11:L11" si="11">AVERAGE(K4:K10)</f>
        <v>6.3</v>
      </c>
      <c r="L11" s="298">
        <f t="shared" si="11"/>
        <v>34.950000000000003</v>
      </c>
      <c r="M11" s="313">
        <f t="shared" ref="M11" si="12">AVERAGE(M4:M10)</f>
        <v>4.0709</v>
      </c>
      <c r="N11" s="313">
        <f t="shared" ref="N11:O11" si="13">AVERAGE(N4:N10)</f>
        <v>160.27165354330677</v>
      </c>
      <c r="O11" s="313">
        <f t="shared" si="13"/>
        <v>2.4691999999999998</v>
      </c>
      <c r="P11" s="313">
        <f t="shared" ref="P11" si="14">AVERAGE(P4:P10)</f>
        <v>97.21259842519666</v>
      </c>
      <c r="Q11" s="313">
        <f t="shared" ref="Q11:R11" si="15">AVERAGE(Q4:Q10)</f>
        <v>2.8956</v>
      </c>
      <c r="R11" s="313">
        <f t="shared" si="15"/>
        <v>113.99999999999977</v>
      </c>
    </row>
    <row r="12" spans="1:18" x14ac:dyDescent="0.25">
      <c r="A12" s="166"/>
      <c r="B12" s="166"/>
      <c r="C12" s="390"/>
      <c r="D12" s="391"/>
      <c r="E12" s="391"/>
      <c r="F12" s="389"/>
      <c r="G12" s="321"/>
      <c r="H12" s="166"/>
      <c r="I12" s="166"/>
      <c r="J12" s="392"/>
      <c r="K12" s="392"/>
      <c r="L12" s="392"/>
    </row>
    <row r="13" spans="1:18" x14ac:dyDescent="0.25">
      <c r="A13" s="385"/>
      <c r="B13" s="388"/>
      <c r="C13" s="390"/>
      <c r="D13" s="391"/>
      <c r="E13" s="391"/>
      <c r="F13" s="389"/>
      <c r="G13" s="321"/>
      <c r="H13" s="166"/>
      <c r="I13" s="166"/>
      <c r="J13" s="392"/>
      <c r="K13" s="392"/>
      <c r="L13" s="392"/>
    </row>
    <row r="14" spans="1:18" x14ac:dyDescent="0.25">
      <c r="A14" s="386"/>
      <c r="B14" s="388"/>
      <c r="C14" s="390"/>
      <c r="D14" s="391"/>
      <c r="E14" s="391"/>
      <c r="F14" s="389"/>
      <c r="G14" s="321"/>
      <c r="H14" s="166"/>
      <c r="I14" s="166"/>
      <c r="J14" s="392"/>
      <c r="K14" s="392"/>
      <c r="L14" s="392"/>
    </row>
    <row r="15" spans="1:18" x14ac:dyDescent="0.25">
      <c r="A15" s="385"/>
      <c r="B15" s="388"/>
      <c r="C15" s="390"/>
      <c r="D15" s="391"/>
      <c r="E15" s="391"/>
      <c r="F15" s="389"/>
      <c r="G15" s="321"/>
      <c r="H15" s="166"/>
      <c r="I15" s="166"/>
      <c r="J15" s="392"/>
      <c r="K15" s="392"/>
      <c r="L15" s="392"/>
    </row>
    <row r="16" spans="1:18" x14ac:dyDescent="0.25">
      <c r="A16" s="386"/>
      <c r="B16" s="166"/>
      <c r="C16" s="390"/>
      <c r="D16" s="391"/>
      <c r="E16" s="391"/>
      <c r="F16" s="389"/>
      <c r="G16" s="321"/>
      <c r="H16" s="166"/>
      <c r="I16" s="166"/>
      <c r="J16" s="392"/>
      <c r="K16" s="392"/>
      <c r="L16" s="392"/>
    </row>
    <row r="17" spans="1:12" x14ac:dyDescent="0.25">
      <c r="A17" s="166"/>
      <c r="B17" s="387"/>
      <c r="C17" s="390"/>
      <c r="D17" s="391"/>
      <c r="E17" s="391"/>
      <c r="F17" s="389"/>
      <c r="G17" s="321"/>
      <c r="H17" s="166"/>
      <c r="I17" s="166"/>
      <c r="J17" s="392"/>
      <c r="K17" s="392"/>
      <c r="L17" s="392"/>
    </row>
    <row r="18" spans="1:12" x14ac:dyDescent="0.25">
      <c r="A18" s="386"/>
      <c r="B18" s="166"/>
      <c r="C18" s="390"/>
      <c r="D18" s="391"/>
      <c r="E18" s="391"/>
      <c r="F18" s="389"/>
      <c r="G18" s="321"/>
      <c r="H18" s="166"/>
      <c r="I18" s="166"/>
      <c r="J18" s="392"/>
      <c r="K18" s="392"/>
      <c r="L18" s="392"/>
    </row>
  </sheetData>
  <mergeCells count="12">
    <mergeCell ref="O2:P2"/>
    <mergeCell ref="Q2:R2"/>
    <mergeCell ref="A1:A3"/>
    <mergeCell ref="B1:R1"/>
    <mergeCell ref="L2:L3"/>
    <mergeCell ref="K2:K3"/>
    <mergeCell ref="J2:J3"/>
    <mergeCell ref="I2:I3"/>
    <mergeCell ref="H2:H3"/>
    <mergeCell ref="C2:E2"/>
    <mergeCell ref="F2:G2"/>
    <mergeCell ref="M2:N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"/>
  <sheetViews>
    <sheetView zoomScaleNormal="100" workbookViewId="0">
      <selection activeCell="B24" sqref="B24:C29"/>
    </sheetView>
  </sheetViews>
  <sheetFormatPr defaultRowHeight="15" x14ac:dyDescent="0.25"/>
  <cols>
    <col min="1" max="1" width="26.42578125" customWidth="1"/>
    <col min="2" max="2" width="13.42578125" customWidth="1"/>
    <col min="3" max="6" width="11.7109375" customWidth="1"/>
    <col min="7" max="8" width="9.42578125" customWidth="1"/>
    <col min="9" max="10" width="9" customWidth="1"/>
    <col min="11" max="11" width="11.7109375" customWidth="1"/>
    <col min="12" max="12" width="26.7109375" customWidth="1"/>
    <col min="13" max="23" width="8.28515625" style="3" customWidth="1"/>
    <col min="25" max="25" width="26.7109375" customWidth="1"/>
    <col min="26" max="27" width="7.85546875" customWidth="1"/>
    <col min="28" max="29" width="7.42578125" customWidth="1"/>
    <col min="30" max="31" width="7.85546875" customWidth="1"/>
    <col min="36" max="36" width="9.85546875" customWidth="1"/>
    <col min="38" max="38" width="26.28515625" customWidth="1"/>
    <col min="39" max="40" width="10" customWidth="1"/>
    <col min="41" max="42" width="6.140625" customWidth="1"/>
    <col min="43" max="43" width="7.140625" customWidth="1"/>
    <col min="45" max="45" width="26.42578125" customWidth="1"/>
    <col min="47" max="47" width="10.140625" customWidth="1"/>
    <col min="48" max="49" width="7" customWidth="1"/>
    <col min="50" max="51" width="6.7109375" customWidth="1"/>
    <col min="52" max="53" width="7.7109375" customWidth="1"/>
  </cols>
  <sheetData>
    <row r="1" spans="1:53" ht="25.5" customHeight="1" thickBot="1" x14ac:dyDescent="0.3">
      <c r="A1" s="570" t="s">
        <v>124</v>
      </c>
      <c r="B1" s="575" t="s">
        <v>30</v>
      </c>
      <c r="C1" s="576"/>
      <c r="D1" s="576"/>
      <c r="E1" s="576"/>
      <c r="F1" s="576"/>
      <c r="G1" s="576"/>
      <c r="H1" s="576"/>
      <c r="I1" s="576"/>
      <c r="J1" s="577"/>
      <c r="K1" s="293"/>
      <c r="L1" s="570" t="s">
        <v>124</v>
      </c>
      <c r="M1" s="575" t="s">
        <v>145</v>
      </c>
      <c r="N1" s="576"/>
      <c r="O1" s="576"/>
      <c r="P1" s="576"/>
      <c r="Q1" s="576"/>
      <c r="R1" s="576"/>
      <c r="S1" s="576"/>
      <c r="T1" s="576"/>
      <c r="U1" s="576"/>
      <c r="V1" s="576"/>
      <c r="W1" s="577"/>
      <c r="Y1" s="584" t="s">
        <v>124</v>
      </c>
      <c r="Z1" s="575" t="s">
        <v>31</v>
      </c>
      <c r="AA1" s="576"/>
      <c r="AB1" s="576"/>
      <c r="AC1" s="576"/>
      <c r="AD1" s="576"/>
      <c r="AE1" s="576"/>
      <c r="AF1" s="576"/>
      <c r="AG1" s="576"/>
      <c r="AH1" s="576"/>
      <c r="AI1" s="576"/>
      <c r="AJ1" s="577"/>
      <c r="AL1" s="570" t="s">
        <v>124</v>
      </c>
      <c r="AM1" s="575" t="s">
        <v>112</v>
      </c>
      <c r="AN1" s="576"/>
      <c r="AO1" s="576"/>
      <c r="AP1" s="576"/>
      <c r="AQ1" s="577"/>
      <c r="AR1" s="320"/>
      <c r="AS1" s="570" t="s">
        <v>124</v>
      </c>
      <c r="AT1" s="575" t="s">
        <v>76</v>
      </c>
      <c r="AU1" s="576"/>
      <c r="AV1" s="576"/>
      <c r="AW1" s="576"/>
      <c r="AX1" s="576"/>
      <c r="AY1" s="576"/>
      <c r="AZ1" s="576"/>
      <c r="BA1" s="577"/>
    </row>
    <row r="2" spans="1:53" s="303" customFormat="1" ht="15.75" thickBot="1" x14ac:dyDescent="0.3">
      <c r="A2" s="571"/>
      <c r="B2" s="570" t="s">
        <v>121</v>
      </c>
      <c r="C2" s="580" t="s">
        <v>32</v>
      </c>
      <c r="D2" s="581"/>
      <c r="E2" s="580" t="s">
        <v>100</v>
      </c>
      <c r="F2" s="581"/>
      <c r="G2" s="580" t="s">
        <v>101</v>
      </c>
      <c r="H2" s="581"/>
      <c r="I2" s="580" t="s">
        <v>102</v>
      </c>
      <c r="J2" s="581"/>
      <c r="L2" s="571"/>
      <c r="M2" s="578" t="s">
        <v>19</v>
      </c>
      <c r="N2" s="579"/>
      <c r="O2" s="578" t="s">
        <v>20</v>
      </c>
      <c r="P2" s="579"/>
      <c r="Q2" s="570" t="s">
        <v>5</v>
      </c>
      <c r="R2" s="578" t="s">
        <v>41</v>
      </c>
      <c r="S2" s="579"/>
      <c r="T2" s="578" t="s">
        <v>21</v>
      </c>
      <c r="U2" s="579"/>
      <c r="V2" s="582" t="s">
        <v>22</v>
      </c>
      <c r="W2" s="583"/>
      <c r="Y2" s="571"/>
      <c r="Z2" s="580" t="s">
        <v>6</v>
      </c>
      <c r="AA2" s="581"/>
      <c r="AB2" s="580" t="s">
        <v>122</v>
      </c>
      <c r="AC2" s="581"/>
      <c r="AD2" s="580" t="s">
        <v>74</v>
      </c>
      <c r="AE2" s="581"/>
      <c r="AF2" s="570" t="s">
        <v>43</v>
      </c>
      <c r="AG2" s="580" t="s">
        <v>72</v>
      </c>
      <c r="AH2" s="581"/>
      <c r="AI2" s="562" t="s">
        <v>38</v>
      </c>
      <c r="AJ2" s="570" t="s">
        <v>123</v>
      </c>
      <c r="AL2" s="571"/>
      <c r="AM2" s="580" t="s">
        <v>113</v>
      </c>
      <c r="AN2" s="581"/>
      <c r="AO2" s="580" t="s">
        <v>73</v>
      </c>
      <c r="AP2" s="581"/>
      <c r="AQ2" s="570" t="s">
        <v>45</v>
      </c>
      <c r="AR2" s="324"/>
      <c r="AS2" s="571"/>
      <c r="AT2" s="578" t="s">
        <v>118</v>
      </c>
      <c r="AU2" s="579"/>
      <c r="AV2" s="578" t="s">
        <v>116</v>
      </c>
      <c r="AW2" s="579"/>
      <c r="AX2" s="578" t="s">
        <v>117</v>
      </c>
      <c r="AY2" s="579"/>
      <c r="AZ2" s="571" t="s">
        <v>46</v>
      </c>
      <c r="BA2" s="571" t="s">
        <v>119</v>
      </c>
    </row>
    <row r="3" spans="1:53" ht="15.75" thickBot="1" x14ac:dyDescent="0.3">
      <c r="A3" s="572"/>
      <c r="B3" s="572"/>
      <c r="C3" s="271" t="s">
        <v>125</v>
      </c>
      <c r="D3" s="267" t="s">
        <v>99</v>
      </c>
      <c r="E3" s="271" t="s">
        <v>125</v>
      </c>
      <c r="F3" s="267" t="s">
        <v>99</v>
      </c>
      <c r="G3" s="271" t="s">
        <v>125</v>
      </c>
      <c r="H3" s="267" t="s">
        <v>99</v>
      </c>
      <c r="I3" s="369" t="s">
        <v>125</v>
      </c>
      <c r="J3" s="9" t="s">
        <v>99</v>
      </c>
      <c r="L3" s="572"/>
      <c r="M3" s="272" t="s">
        <v>103</v>
      </c>
      <c r="N3" s="267" t="s">
        <v>104</v>
      </c>
      <c r="O3" s="271" t="s">
        <v>105</v>
      </c>
      <c r="P3" s="267" t="s">
        <v>106</v>
      </c>
      <c r="Q3" s="572"/>
      <c r="R3" s="271" t="s">
        <v>105</v>
      </c>
      <c r="S3" s="267" t="s">
        <v>106</v>
      </c>
      <c r="T3" s="368" t="s">
        <v>103</v>
      </c>
      <c r="U3" s="13" t="s">
        <v>104</v>
      </c>
      <c r="V3" s="289" t="s">
        <v>103</v>
      </c>
      <c r="W3" s="289" t="s">
        <v>104</v>
      </c>
      <c r="Y3" s="572"/>
      <c r="Z3" s="272" t="s">
        <v>126</v>
      </c>
      <c r="AA3" s="267" t="s">
        <v>120</v>
      </c>
      <c r="AB3" s="271" t="s">
        <v>107</v>
      </c>
      <c r="AC3" s="267" t="s">
        <v>108</v>
      </c>
      <c r="AD3" s="271" t="s">
        <v>128</v>
      </c>
      <c r="AE3" s="267" t="s">
        <v>99</v>
      </c>
      <c r="AF3" s="572"/>
      <c r="AG3" s="13" t="s">
        <v>127</v>
      </c>
      <c r="AH3" s="289" t="s">
        <v>109</v>
      </c>
      <c r="AI3" s="564"/>
      <c r="AJ3" s="572"/>
      <c r="AL3" s="572"/>
      <c r="AM3" s="271" t="s">
        <v>107</v>
      </c>
      <c r="AN3" s="267" t="s">
        <v>108</v>
      </c>
      <c r="AO3" s="271" t="s">
        <v>114</v>
      </c>
      <c r="AP3" s="267" t="s">
        <v>115</v>
      </c>
      <c r="AQ3" s="572"/>
      <c r="AR3" s="321"/>
      <c r="AS3" s="572"/>
      <c r="AT3" s="271" t="s">
        <v>107</v>
      </c>
      <c r="AU3" s="267" t="s">
        <v>108</v>
      </c>
      <c r="AV3" s="271" t="s">
        <v>114</v>
      </c>
      <c r="AW3" s="267" t="s">
        <v>115</v>
      </c>
      <c r="AX3" s="271" t="s">
        <v>114</v>
      </c>
      <c r="AY3" s="267" t="s">
        <v>115</v>
      </c>
      <c r="AZ3" s="572"/>
      <c r="BA3" s="572"/>
    </row>
    <row r="4" spans="1:53" s="62" customFormat="1" x14ac:dyDescent="0.25">
      <c r="A4" s="288" t="s">
        <v>10</v>
      </c>
      <c r="B4" s="288">
        <v>440</v>
      </c>
      <c r="C4" s="276">
        <v>235000</v>
      </c>
      <c r="D4" s="277">
        <v>518175</v>
      </c>
      <c r="E4" s="276">
        <v>125100</v>
      </c>
      <c r="F4" s="277">
        <v>275845.5</v>
      </c>
      <c r="G4" s="276">
        <v>122375</v>
      </c>
      <c r="H4" s="277">
        <v>269836.875</v>
      </c>
      <c r="I4" s="278">
        <v>173000</v>
      </c>
      <c r="J4" s="277">
        <v>381465</v>
      </c>
      <c r="L4" s="288" t="s">
        <v>10</v>
      </c>
      <c r="M4" s="325">
        <v>361.6</v>
      </c>
      <c r="N4" s="277">
        <v>3892</v>
      </c>
      <c r="O4" s="276">
        <v>60.3</v>
      </c>
      <c r="P4" s="277">
        <v>197.83224000000001</v>
      </c>
      <c r="Q4" s="243">
        <v>10.06</v>
      </c>
      <c r="R4" s="243">
        <v>63.69</v>
      </c>
      <c r="S4" s="290">
        <v>208.95415199999999</v>
      </c>
      <c r="T4" s="325">
        <v>67.7</v>
      </c>
      <c r="U4" s="277">
        <v>728.71603000000005</v>
      </c>
      <c r="V4" s="330">
        <v>52.95</v>
      </c>
      <c r="W4" s="338">
        <v>569.94850499999995</v>
      </c>
      <c r="Y4" s="288" t="s">
        <v>10</v>
      </c>
      <c r="Z4" s="276">
        <v>10830</v>
      </c>
      <c r="AA4" s="277">
        <v>5847.56</v>
      </c>
      <c r="AB4" s="276">
        <v>10668</v>
      </c>
      <c r="AC4" s="277">
        <v>34999.574400000005</v>
      </c>
      <c r="AD4" s="276">
        <v>305</v>
      </c>
      <c r="AE4" s="277">
        <v>68543.31291170996</v>
      </c>
      <c r="AF4" s="307">
        <v>0.26460190426616348</v>
      </c>
      <c r="AG4" s="243">
        <v>649.88938053097343</v>
      </c>
      <c r="AH4" s="294">
        <v>133.1384892086331</v>
      </c>
      <c r="AI4" s="308">
        <v>0.82</v>
      </c>
      <c r="AJ4" s="349">
        <v>2</v>
      </c>
      <c r="AL4" s="288" t="s">
        <v>10</v>
      </c>
      <c r="AM4" s="276">
        <v>2515</v>
      </c>
      <c r="AN4" s="277">
        <v>8250</v>
      </c>
      <c r="AO4" s="325">
        <v>67.3</v>
      </c>
      <c r="AP4" s="277">
        <v>130.81773999999999</v>
      </c>
      <c r="AQ4" s="304">
        <v>2.2999999999999998</v>
      </c>
      <c r="AR4" s="158"/>
      <c r="AS4" s="288" t="s">
        <v>10</v>
      </c>
      <c r="AT4" s="276">
        <v>1753</v>
      </c>
      <c r="AU4" s="290">
        <v>5650</v>
      </c>
      <c r="AV4" s="276">
        <v>53</v>
      </c>
      <c r="AW4" s="277">
        <v>103.0237580994048</v>
      </c>
      <c r="AX4" s="334">
        <v>68.900000000000006</v>
      </c>
      <c r="AY4" s="277">
        <v>133.93088552922623</v>
      </c>
      <c r="AZ4" s="304">
        <v>1.69</v>
      </c>
      <c r="BA4" s="304">
        <v>2.85</v>
      </c>
    </row>
    <row r="5" spans="1:53" s="62" customFormat="1" x14ac:dyDescent="0.25">
      <c r="A5" s="31" t="s">
        <v>14</v>
      </c>
      <c r="B5" s="31">
        <v>380</v>
      </c>
      <c r="C5" s="269">
        <v>365000</v>
      </c>
      <c r="D5" s="270">
        <v>804825</v>
      </c>
      <c r="E5" s="269">
        <v>177700</v>
      </c>
      <c r="F5" s="270">
        <v>391828.5</v>
      </c>
      <c r="G5" s="269">
        <v>174511</v>
      </c>
      <c r="H5" s="270">
        <v>384796.755</v>
      </c>
      <c r="I5" s="273">
        <v>242000</v>
      </c>
      <c r="J5" s="270">
        <v>533610</v>
      </c>
      <c r="L5" s="31" t="s">
        <v>14</v>
      </c>
      <c r="M5" s="326">
        <v>437</v>
      </c>
      <c r="N5" s="270">
        <v>4703.8</v>
      </c>
      <c r="O5" s="269">
        <v>63.45</v>
      </c>
      <c r="P5" s="270">
        <v>208.16676000000001</v>
      </c>
      <c r="Q5" s="27">
        <v>9.3000000000000007</v>
      </c>
      <c r="R5" s="27">
        <v>75.36</v>
      </c>
      <c r="S5" s="282">
        <v>247.24108800000002</v>
      </c>
      <c r="T5" s="326" t="s">
        <v>144</v>
      </c>
      <c r="U5" s="452" t="s">
        <v>144</v>
      </c>
      <c r="V5" s="326" t="s">
        <v>144</v>
      </c>
      <c r="W5" s="452" t="s">
        <v>144</v>
      </c>
      <c r="Y5" s="31" t="s">
        <v>14</v>
      </c>
      <c r="Z5" s="269">
        <v>13890</v>
      </c>
      <c r="AA5" s="270">
        <v>7499.96</v>
      </c>
      <c r="AB5" s="269">
        <v>10668</v>
      </c>
      <c r="AC5" s="270">
        <v>34999.574400000005</v>
      </c>
      <c r="AD5" s="269">
        <v>260</v>
      </c>
      <c r="AE5" s="270">
        <v>58430.365105064237</v>
      </c>
      <c r="AF5" s="53">
        <v>0.2904500579503721</v>
      </c>
      <c r="AG5" s="27">
        <v>835.24027459954232</v>
      </c>
      <c r="AH5" s="295">
        <v>171.10102470343125</v>
      </c>
      <c r="AI5" s="309" t="s">
        <v>16</v>
      </c>
      <c r="AJ5" s="350">
        <v>4</v>
      </c>
      <c r="AL5" s="31" t="s">
        <v>14</v>
      </c>
      <c r="AM5" s="269">
        <v>3140</v>
      </c>
      <c r="AN5" s="270">
        <v>10300</v>
      </c>
      <c r="AO5" s="326">
        <v>78.81</v>
      </c>
      <c r="AP5" s="270">
        <v>153.190878</v>
      </c>
      <c r="AQ5" s="305">
        <v>2.2000000000000002</v>
      </c>
      <c r="AR5" s="158"/>
      <c r="AS5" s="31" t="s">
        <v>14</v>
      </c>
      <c r="AT5" s="269">
        <v>2100</v>
      </c>
      <c r="AU5" s="282">
        <v>6900</v>
      </c>
      <c r="AV5" s="269">
        <v>57</v>
      </c>
      <c r="AW5" s="270">
        <v>110.7991360691712</v>
      </c>
      <c r="AX5" s="335">
        <v>74.100000000000009</v>
      </c>
      <c r="AY5" s="270">
        <v>144.03887688992256</v>
      </c>
      <c r="AZ5" s="305">
        <v>1.71</v>
      </c>
      <c r="BA5" s="305">
        <v>2.88</v>
      </c>
    </row>
    <row r="6" spans="1:53" s="62" customFormat="1" x14ac:dyDescent="0.25">
      <c r="A6" s="31" t="s">
        <v>7</v>
      </c>
      <c r="B6" s="31"/>
      <c r="C6" s="269"/>
      <c r="D6" s="270"/>
      <c r="E6" s="269"/>
      <c r="F6" s="270"/>
      <c r="G6" s="269"/>
      <c r="H6" s="270"/>
      <c r="I6" s="273"/>
      <c r="J6" s="270"/>
      <c r="L6" s="31" t="s">
        <v>7</v>
      </c>
      <c r="M6" s="326"/>
      <c r="N6" s="270"/>
      <c r="O6" s="269"/>
      <c r="P6" s="270"/>
      <c r="Q6" s="27"/>
      <c r="R6" s="27"/>
      <c r="S6" s="282"/>
      <c r="T6" s="326"/>
      <c r="U6" s="452"/>
      <c r="V6" s="326"/>
      <c r="W6" s="452"/>
      <c r="Y6" s="31" t="s">
        <v>7</v>
      </c>
      <c r="Z6" s="269"/>
      <c r="AA6" s="270"/>
      <c r="AB6" s="269"/>
      <c r="AC6" s="270"/>
      <c r="AD6" s="269"/>
      <c r="AE6" s="270"/>
      <c r="AF6" s="53"/>
      <c r="AG6" s="27"/>
      <c r="AH6" s="295"/>
      <c r="AI6" s="309"/>
      <c r="AJ6" s="350">
        <v>4</v>
      </c>
      <c r="AL6" s="31" t="s">
        <v>7</v>
      </c>
      <c r="AM6" s="269"/>
      <c r="AN6" s="270"/>
      <c r="AO6" s="326"/>
      <c r="AP6" s="270"/>
      <c r="AQ6" s="305"/>
      <c r="AR6" s="158"/>
      <c r="AS6" s="31" t="s">
        <v>7</v>
      </c>
      <c r="AT6" s="269"/>
      <c r="AU6" s="282"/>
      <c r="AV6" s="269"/>
      <c r="AW6" s="270"/>
      <c r="AX6" s="335"/>
      <c r="AY6" s="270"/>
      <c r="AZ6" s="305"/>
      <c r="BA6" s="305"/>
    </row>
    <row r="7" spans="1:53" s="62" customFormat="1" x14ac:dyDescent="0.25">
      <c r="A7" s="31" t="s">
        <v>11</v>
      </c>
      <c r="B7" s="31"/>
      <c r="C7" s="269"/>
      <c r="D7" s="270"/>
      <c r="E7" s="269"/>
      <c r="F7" s="270"/>
      <c r="G7" s="269"/>
      <c r="H7" s="270"/>
      <c r="I7" s="273"/>
      <c r="J7" s="270"/>
      <c r="L7" s="31" t="s">
        <v>11</v>
      </c>
      <c r="M7" s="326"/>
      <c r="N7" s="270"/>
      <c r="O7" s="269"/>
      <c r="P7" s="270"/>
      <c r="Q7" s="27"/>
      <c r="R7" s="27"/>
      <c r="S7" s="282"/>
      <c r="T7" s="326"/>
      <c r="U7" s="270"/>
      <c r="V7" s="331"/>
      <c r="W7" s="339"/>
      <c r="Y7" s="31" t="s">
        <v>11</v>
      </c>
      <c r="Z7" s="269"/>
      <c r="AA7" s="270"/>
      <c r="AB7" s="269"/>
      <c r="AC7" s="270"/>
      <c r="AD7" s="269"/>
      <c r="AE7" s="270"/>
      <c r="AF7" s="53"/>
      <c r="AG7" s="27"/>
      <c r="AH7" s="295"/>
      <c r="AI7" s="309"/>
      <c r="AJ7" s="350">
        <v>4</v>
      </c>
      <c r="AL7" s="31" t="s">
        <v>11</v>
      </c>
      <c r="AM7" s="269"/>
      <c r="AN7" s="270"/>
      <c r="AO7" s="326"/>
      <c r="AP7" s="270"/>
      <c r="AQ7" s="305"/>
      <c r="AR7" s="158"/>
      <c r="AS7" s="31" t="s">
        <v>11</v>
      </c>
      <c r="AT7" s="269"/>
      <c r="AU7" s="282"/>
      <c r="AV7" s="269"/>
      <c r="AW7" s="270"/>
      <c r="AX7" s="335"/>
      <c r="AY7" s="270"/>
      <c r="AZ7" s="305"/>
      <c r="BA7" s="305"/>
    </row>
    <row r="8" spans="1:53" s="62" customFormat="1" x14ac:dyDescent="0.25">
      <c r="A8" s="229" t="s">
        <v>2</v>
      </c>
      <c r="B8" s="229"/>
      <c r="C8" s="285"/>
      <c r="D8" s="286"/>
      <c r="E8" s="285"/>
      <c r="F8" s="286"/>
      <c r="G8" s="285"/>
      <c r="H8" s="286"/>
      <c r="I8" s="287"/>
      <c r="J8" s="286"/>
      <c r="L8" s="229" t="s">
        <v>2</v>
      </c>
      <c r="M8" s="327"/>
      <c r="N8" s="286"/>
      <c r="O8" s="285"/>
      <c r="P8" s="286"/>
      <c r="Q8" s="341"/>
      <c r="R8" s="341"/>
      <c r="S8" s="291"/>
      <c r="T8" s="327"/>
      <c r="U8" s="286"/>
      <c r="V8" s="327"/>
      <c r="W8" s="286"/>
      <c r="Y8" s="229" t="s">
        <v>2</v>
      </c>
      <c r="Z8" s="285"/>
      <c r="AA8" s="286"/>
      <c r="AB8" s="285"/>
      <c r="AC8" s="286"/>
      <c r="AD8" s="285"/>
      <c r="AE8" s="286"/>
      <c r="AF8" s="55"/>
      <c r="AG8" s="341"/>
      <c r="AH8" s="296"/>
      <c r="AI8" s="310"/>
      <c r="AJ8" s="351">
        <v>2</v>
      </c>
      <c r="AL8" s="229" t="s">
        <v>2</v>
      </c>
      <c r="AM8" s="285"/>
      <c r="AN8" s="286"/>
      <c r="AO8" s="327"/>
      <c r="AP8" s="286"/>
      <c r="AQ8" s="306"/>
      <c r="AR8" s="158"/>
      <c r="AS8" s="229" t="s">
        <v>2</v>
      </c>
      <c r="AT8" s="285"/>
      <c r="AU8" s="291"/>
      <c r="AV8" s="285"/>
      <c r="AW8" s="286"/>
      <c r="AX8" s="336"/>
      <c r="AY8" s="286"/>
      <c r="AZ8" s="306"/>
      <c r="BA8" s="306"/>
    </row>
    <row r="9" spans="1:53" s="62" customFormat="1" x14ac:dyDescent="0.25">
      <c r="A9" s="31" t="s">
        <v>1</v>
      </c>
      <c r="B9" s="31"/>
      <c r="C9" s="269"/>
      <c r="D9" s="270"/>
      <c r="E9" s="269"/>
      <c r="F9" s="270"/>
      <c r="G9" s="269"/>
      <c r="H9" s="270"/>
      <c r="I9" s="273"/>
      <c r="J9" s="270"/>
      <c r="L9" s="31" t="s">
        <v>1</v>
      </c>
      <c r="M9" s="326"/>
      <c r="N9" s="270"/>
      <c r="O9" s="269"/>
      <c r="P9" s="270"/>
      <c r="Q9" s="27"/>
      <c r="R9" s="27"/>
      <c r="S9" s="282"/>
      <c r="T9" s="326"/>
      <c r="U9" s="270"/>
      <c r="V9" s="331"/>
      <c r="W9" s="339"/>
      <c r="Y9" s="31" t="s">
        <v>1</v>
      </c>
      <c r="Z9" s="269"/>
      <c r="AA9" s="270"/>
      <c r="AB9" s="269"/>
      <c r="AC9" s="270"/>
      <c r="AD9" s="269"/>
      <c r="AE9" s="270"/>
      <c r="AF9" s="53"/>
      <c r="AG9" s="27"/>
      <c r="AH9" s="295"/>
      <c r="AI9" s="309"/>
      <c r="AJ9" s="350">
        <v>4</v>
      </c>
      <c r="AL9" s="31" t="s">
        <v>1</v>
      </c>
      <c r="AM9" s="269"/>
      <c r="AN9" s="270"/>
      <c r="AO9" s="326"/>
      <c r="AP9" s="270"/>
      <c r="AQ9" s="305"/>
      <c r="AR9" s="158"/>
      <c r="AS9" s="31" t="s">
        <v>1</v>
      </c>
      <c r="AT9" s="269"/>
      <c r="AU9" s="282"/>
      <c r="AV9" s="269"/>
      <c r="AW9" s="270"/>
      <c r="AX9" s="335"/>
      <c r="AY9" s="270"/>
      <c r="AZ9" s="305"/>
      <c r="BA9" s="305"/>
    </row>
    <row r="10" spans="1:53" s="62" customFormat="1" ht="15.75" thickBot="1" x14ac:dyDescent="0.3">
      <c r="A10" s="32" t="s">
        <v>9</v>
      </c>
      <c r="B10" s="343"/>
      <c r="C10" s="279"/>
      <c r="D10" s="280"/>
      <c r="E10" s="279"/>
      <c r="F10" s="280"/>
      <c r="G10" s="279"/>
      <c r="H10" s="280"/>
      <c r="I10" s="281"/>
      <c r="J10" s="280"/>
      <c r="L10" s="32" t="s">
        <v>9</v>
      </c>
      <c r="M10" s="328"/>
      <c r="N10" s="280"/>
      <c r="O10" s="279"/>
      <c r="P10" s="280"/>
      <c r="Q10" s="342"/>
      <c r="R10" s="342"/>
      <c r="S10" s="292"/>
      <c r="T10" s="453"/>
      <c r="U10" s="454"/>
      <c r="V10" s="332"/>
      <c r="W10" s="340"/>
      <c r="Y10" s="32" t="s">
        <v>9</v>
      </c>
      <c r="Z10" s="279"/>
      <c r="AA10" s="280"/>
      <c r="AB10" s="279"/>
      <c r="AC10" s="280"/>
      <c r="AD10" s="279"/>
      <c r="AE10" s="280"/>
      <c r="AF10" s="57"/>
      <c r="AG10" s="342"/>
      <c r="AH10" s="312"/>
      <c r="AI10" s="311"/>
      <c r="AJ10" s="352">
        <v>3</v>
      </c>
      <c r="AL10" s="32" t="s">
        <v>9</v>
      </c>
      <c r="AM10" s="279"/>
      <c r="AN10" s="280"/>
      <c r="AO10" s="328"/>
      <c r="AP10" s="280"/>
      <c r="AQ10" s="322"/>
      <c r="AR10" s="158"/>
      <c r="AS10" s="32" t="s">
        <v>9</v>
      </c>
      <c r="AT10" s="279"/>
      <c r="AU10" s="292"/>
      <c r="AV10" s="279"/>
      <c r="AW10" s="280"/>
      <c r="AX10" s="337"/>
      <c r="AY10" s="280"/>
      <c r="AZ10" s="322"/>
      <c r="BA10" s="322"/>
    </row>
    <row r="11" spans="1:53" s="62" customFormat="1" ht="15.75" thickBot="1" x14ac:dyDescent="0.3">
      <c r="A11" s="344" t="s">
        <v>146</v>
      </c>
      <c r="B11" s="301"/>
      <c r="C11" s="301"/>
      <c r="D11" s="302"/>
      <c r="E11" s="301"/>
      <c r="F11" s="302"/>
      <c r="G11" s="301"/>
      <c r="H11" s="302"/>
      <c r="I11" s="301"/>
      <c r="J11" s="302"/>
      <c r="L11" s="297" t="s">
        <v>146</v>
      </c>
      <c r="M11" s="329"/>
      <c r="N11" s="299"/>
      <c r="O11" s="298"/>
      <c r="P11" s="299"/>
      <c r="Q11" s="313"/>
      <c r="R11" s="348"/>
      <c r="S11" s="302"/>
      <c r="T11" s="333"/>
      <c r="U11" s="300"/>
      <c r="V11" s="333"/>
      <c r="W11" s="300"/>
      <c r="Y11" s="297" t="s">
        <v>146</v>
      </c>
      <c r="Z11" s="301"/>
      <c r="AA11" s="302"/>
      <c r="AB11" s="298"/>
      <c r="AC11" s="299"/>
      <c r="AD11" s="301"/>
      <c r="AE11" s="302"/>
      <c r="AF11" s="354"/>
      <c r="AG11" s="348"/>
      <c r="AH11" s="353"/>
      <c r="AI11" s="323"/>
      <c r="AJ11" s="585"/>
      <c r="AL11" s="297" t="s">
        <v>146</v>
      </c>
      <c r="AM11" s="301"/>
      <c r="AN11" s="302"/>
      <c r="AO11" s="455"/>
      <c r="AP11" s="302"/>
      <c r="AQ11" s="355"/>
      <c r="AR11" s="158"/>
      <c r="AS11" s="297" t="s">
        <v>146</v>
      </c>
      <c r="AT11" s="301"/>
      <c r="AU11" s="356"/>
      <c r="AV11" s="455"/>
      <c r="AW11" s="356"/>
      <c r="AX11" s="455"/>
      <c r="AY11" s="302"/>
      <c r="AZ11" s="355"/>
      <c r="BA11" s="355"/>
    </row>
    <row r="12" spans="1:53" s="62" customFormat="1" ht="15.75" thickBot="1" x14ac:dyDescent="0.3">
      <c r="A12" s="366" t="s">
        <v>147</v>
      </c>
      <c r="B12" s="367"/>
      <c r="C12" s="358"/>
      <c r="D12" s="359"/>
      <c r="E12" s="358"/>
      <c r="F12" s="359"/>
      <c r="G12" s="358"/>
      <c r="H12" s="359"/>
      <c r="I12" s="358"/>
      <c r="J12" s="359"/>
      <c r="L12" s="357" t="s">
        <v>147</v>
      </c>
      <c r="M12" s="365">
        <f>AVERAGE(M4:M5,M7:M10)</f>
        <v>399.3</v>
      </c>
      <c r="N12" s="359">
        <f>AVERAGE(N4:N5,N7:N10)</f>
        <v>4297.8999999999996</v>
      </c>
      <c r="O12" s="358">
        <f>AVERAGE(O4:O5,O7:O10)</f>
        <v>61.875</v>
      </c>
      <c r="P12" s="359">
        <f>AVERAGE(P4:P5,P7:P10)</f>
        <v>202.99950000000001</v>
      </c>
      <c r="Q12" s="360">
        <f>AVERAGE(Q4:Q5,Q7:Q10)</f>
        <v>9.68</v>
      </c>
      <c r="R12" s="363">
        <f t="shared" ref="R12:W12" si="0">AVERAGE(R4:R5,R7:R10)</f>
        <v>69.525000000000006</v>
      </c>
      <c r="S12" s="359">
        <f t="shared" si="0"/>
        <v>228.09762000000001</v>
      </c>
      <c r="T12" s="365">
        <f t="shared" si="0"/>
        <v>67.7</v>
      </c>
      <c r="U12" s="359">
        <f t="shared" si="0"/>
        <v>728.71603000000005</v>
      </c>
      <c r="V12" s="365">
        <f t="shared" si="0"/>
        <v>52.95</v>
      </c>
      <c r="W12" s="359">
        <f t="shared" si="0"/>
        <v>569.94850499999995</v>
      </c>
      <c r="Y12" s="357" t="s">
        <v>147</v>
      </c>
      <c r="Z12" s="358">
        <f>AVERAGE(Z4:Z5,Z7:Z10)</f>
        <v>12360</v>
      </c>
      <c r="AA12" s="359">
        <f>AVERAGE(AA4:AA5,AA7:AA10)</f>
        <v>6673.76</v>
      </c>
      <c r="AB12" s="358">
        <f>AVERAGE(AB4:AB5,AB7:AB10)</f>
        <v>10668</v>
      </c>
      <c r="AC12" s="359">
        <f>AVERAGE(AC4:AC5,AC7:AC10)</f>
        <v>34999.574400000005</v>
      </c>
      <c r="AD12" s="358">
        <f>AVERAGE(AD4:AD5,AD7:AD10)</f>
        <v>282.5</v>
      </c>
      <c r="AE12" s="359">
        <f t="shared" ref="AE12:AH12" si="1">AVERAGE(AE4:AE5,AE7:AE10)</f>
        <v>63486.839008387098</v>
      </c>
      <c r="AF12" s="362">
        <f t="shared" si="1"/>
        <v>0.27752598110826776</v>
      </c>
      <c r="AG12" s="363">
        <f t="shared" si="1"/>
        <v>742.56482756525793</v>
      </c>
      <c r="AH12" s="364">
        <f t="shared" si="1"/>
        <v>152.11975695603218</v>
      </c>
      <c r="AI12" s="361">
        <f>AVERAGE(AI4:AI5,AI7:AI10)</f>
        <v>0.82</v>
      </c>
      <c r="AJ12" s="586"/>
      <c r="AL12" s="357" t="s">
        <v>147</v>
      </c>
      <c r="AM12" s="358">
        <f>AVERAGE(AM4:AM5,AM7:AM10)</f>
        <v>2827.5</v>
      </c>
      <c r="AN12" s="359">
        <f t="shared" ref="AN12:AQ12" si="2">AVERAGE(AN4:AN5,AN7:AN10)</f>
        <v>9275</v>
      </c>
      <c r="AO12" s="365">
        <f t="shared" si="2"/>
        <v>73.055000000000007</v>
      </c>
      <c r="AP12" s="359">
        <f t="shared" si="2"/>
        <v>142.00430899999998</v>
      </c>
      <c r="AQ12" s="361">
        <f t="shared" si="2"/>
        <v>2.25</v>
      </c>
      <c r="AS12" s="357" t="s">
        <v>147</v>
      </c>
      <c r="AT12" s="358">
        <f>AVERAGE(AT4:AT5,AT7:AT10)</f>
        <v>1926.5</v>
      </c>
      <c r="AU12" s="359">
        <f t="shared" ref="AU12:BA12" si="3">AVERAGE(AU4:AU5,AU7:AU10)</f>
        <v>6275</v>
      </c>
      <c r="AV12" s="365">
        <f t="shared" si="3"/>
        <v>55</v>
      </c>
      <c r="AW12" s="359">
        <f t="shared" si="3"/>
        <v>106.911447084288</v>
      </c>
      <c r="AX12" s="365">
        <f t="shared" si="3"/>
        <v>71.5</v>
      </c>
      <c r="AY12" s="359">
        <f t="shared" si="3"/>
        <v>138.98488120957438</v>
      </c>
      <c r="AZ12" s="360">
        <f t="shared" si="3"/>
        <v>1.7</v>
      </c>
      <c r="BA12" s="361">
        <f t="shared" si="3"/>
        <v>2.8650000000000002</v>
      </c>
    </row>
    <row r="13" spans="1:53" ht="15.75" thickBot="1" x14ac:dyDescent="0.3">
      <c r="A13" s="345" t="s">
        <v>52</v>
      </c>
      <c r="B13" s="345"/>
      <c r="C13" s="274">
        <v>351533</v>
      </c>
      <c r="D13" s="275">
        <v>775130.26500000001</v>
      </c>
      <c r="E13" s="283">
        <v>167829</v>
      </c>
      <c r="F13" s="284">
        <v>370062.94500000001</v>
      </c>
      <c r="G13" s="283">
        <v>164645.33499999999</v>
      </c>
      <c r="H13" s="346">
        <v>363042.96367500001</v>
      </c>
      <c r="I13" s="283">
        <v>237682</v>
      </c>
      <c r="J13" s="284">
        <v>524088.81</v>
      </c>
    </row>
    <row r="18" spans="1:23" ht="15.75" thickBot="1" x14ac:dyDescent="0.3"/>
    <row r="19" spans="1:23" x14ac:dyDescent="0.25">
      <c r="A19" s="570" t="s">
        <v>124</v>
      </c>
      <c r="B19" s="573" t="s">
        <v>32</v>
      </c>
      <c r="C19" s="573" t="s">
        <v>101</v>
      </c>
    </row>
    <row r="20" spans="1:23" ht="15.75" thickBot="1" x14ac:dyDescent="0.3">
      <c r="A20" s="571"/>
      <c r="B20" s="574"/>
      <c r="C20" s="574"/>
      <c r="L20" s="3"/>
      <c r="W20"/>
    </row>
    <row r="21" spans="1:23" ht="15.75" thickBot="1" x14ac:dyDescent="0.3">
      <c r="A21" s="572"/>
      <c r="B21" s="267" t="s">
        <v>99</v>
      </c>
      <c r="C21" s="267" t="s">
        <v>99</v>
      </c>
      <c r="L21" s="3"/>
      <c r="W21"/>
    </row>
    <row r="22" spans="1:23" x14ac:dyDescent="0.25">
      <c r="A22" s="349" t="s">
        <v>10</v>
      </c>
      <c r="B22" s="456">
        <v>518175</v>
      </c>
      <c r="C22" s="277">
        <v>269836.875</v>
      </c>
      <c r="L22" s="3"/>
      <c r="W22"/>
    </row>
    <row r="23" spans="1:23" x14ac:dyDescent="0.25">
      <c r="A23" s="350" t="s">
        <v>14</v>
      </c>
      <c r="B23" s="457">
        <v>804825</v>
      </c>
      <c r="C23" s="270">
        <v>384796.755</v>
      </c>
      <c r="L23" s="3"/>
      <c r="W23"/>
    </row>
    <row r="24" spans="1:23" x14ac:dyDescent="0.25">
      <c r="A24" s="350" t="s">
        <v>7</v>
      </c>
      <c r="B24" s="457"/>
      <c r="C24" s="270"/>
      <c r="L24" s="3"/>
      <c r="W24"/>
    </row>
    <row r="25" spans="1:23" x14ac:dyDescent="0.25">
      <c r="A25" s="350" t="s">
        <v>11</v>
      </c>
      <c r="B25" s="457"/>
      <c r="C25" s="270"/>
      <c r="L25" s="3"/>
      <c r="W25"/>
    </row>
    <row r="26" spans="1:23" x14ac:dyDescent="0.25">
      <c r="A26" s="351" t="s">
        <v>2</v>
      </c>
      <c r="B26" s="458"/>
      <c r="C26" s="286"/>
      <c r="L26" s="3"/>
      <c r="W26"/>
    </row>
    <row r="27" spans="1:23" x14ac:dyDescent="0.25">
      <c r="A27" s="350" t="s">
        <v>1</v>
      </c>
      <c r="B27" s="457"/>
      <c r="C27" s="270"/>
      <c r="L27" s="3"/>
      <c r="W27"/>
    </row>
    <row r="28" spans="1:23" ht="15.75" thickBot="1" x14ac:dyDescent="0.3">
      <c r="A28" s="352" t="s">
        <v>9</v>
      </c>
      <c r="B28" s="459"/>
      <c r="C28" s="280"/>
      <c r="L28" s="3"/>
      <c r="W28"/>
    </row>
    <row r="29" spans="1:23" ht="15.75" thickBot="1" x14ac:dyDescent="0.3">
      <c r="A29" s="462" t="s">
        <v>146</v>
      </c>
      <c r="B29" s="460"/>
      <c r="C29" s="302"/>
      <c r="L29" s="3"/>
      <c r="W29"/>
    </row>
    <row r="30" spans="1:23" ht="15.75" thickBot="1" x14ac:dyDescent="0.3">
      <c r="A30" s="463" t="s">
        <v>147</v>
      </c>
      <c r="B30" s="461">
        <f>AVERAGE(B22:B23,B25:B28)</f>
        <v>661500</v>
      </c>
      <c r="C30" s="359">
        <f t="shared" ref="C30" si="4">AVERAGE(C22:C23,C25:C28)</f>
        <v>327316.815</v>
      </c>
      <c r="L30" s="3"/>
      <c r="W30"/>
    </row>
  </sheetData>
  <mergeCells count="40">
    <mergeCell ref="AJ11:AJ12"/>
    <mergeCell ref="AT1:BA1"/>
    <mergeCell ref="AM1:AQ1"/>
    <mergeCell ref="AS1:AS3"/>
    <mergeCell ref="AT2:AU2"/>
    <mergeCell ref="AX2:AY2"/>
    <mergeCell ref="BA2:BA3"/>
    <mergeCell ref="AV2:AW2"/>
    <mergeCell ref="AZ2:AZ3"/>
    <mergeCell ref="AQ2:AQ3"/>
    <mergeCell ref="AI2:AI3"/>
    <mergeCell ref="Q2:Q3"/>
    <mergeCell ref="AL1:AL3"/>
    <mergeCell ref="AM2:AN2"/>
    <mergeCell ref="AO2:AP2"/>
    <mergeCell ref="Z1:AJ1"/>
    <mergeCell ref="AD2:AE2"/>
    <mergeCell ref="AB2:AC2"/>
    <mergeCell ref="Z2:AA2"/>
    <mergeCell ref="AF2:AF3"/>
    <mergeCell ref="AJ2:AJ3"/>
    <mergeCell ref="AG2:AH2"/>
    <mergeCell ref="V2:W2"/>
    <mergeCell ref="M1:W1"/>
    <mergeCell ref="Y1:Y3"/>
    <mergeCell ref="T2:U2"/>
    <mergeCell ref="M2:N2"/>
    <mergeCell ref="O2:P2"/>
    <mergeCell ref="R2:S2"/>
    <mergeCell ref="C2:D2"/>
    <mergeCell ref="E2:F2"/>
    <mergeCell ref="G2:H2"/>
    <mergeCell ref="I2:J2"/>
    <mergeCell ref="A19:A21"/>
    <mergeCell ref="B19:B20"/>
    <mergeCell ref="C19:C20"/>
    <mergeCell ref="A1:A3"/>
    <mergeCell ref="L1:L3"/>
    <mergeCell ref="B2:B3"/>
    <mergeCell ref="B1:J1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Medie</vt:lpstr>
      <vt:lpstr>Grafici</vt:lpstr>
      <vt:lpstr>Pesi e Geometrie</vt:lpstr>
      <vt:lpstr>TO &amp; LD</vt:lpstr>
      <vt:lpstr>Prestazioni</vt:lpstr>
      <vt:lpstr>Aerodinamica</vt:lpstr>
      <vt:lpstr>Motori</vt:lpstr>
      <vt:lpstr>Carpet plot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Nicolosi</cp:lastModifiedBy>
  <cp:lastPrinted>2012-04-24T12:46:30Z</cp:lastPrinted>
  <dcterms:created xsi:type="dcterms:W3CDTF">2012-03-11T18:17:52Z</dcterms:created>
  <dcterms:modified xsi:type="dcterms:W3CDTF">2015-03-20T12:28:49Z</dcterms:modified>
</cp:coreProperties>
</file>